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66925"/>
  <mc:AlternateContent xmlns:mc="http://schemas.openxmlformats.org/markup-compatibility/2006">
    <mc:Choice Requires="x15">
      <x15ac:absPath xmlns:x15ac="http://schemas.microsoft.com/office/spreadsheetml/2010/11/ac" url="C:\Users\49176\Desktop\AK Klimaschule Bayern\CO2-Einsparungstool\"/>
    </mc:Choice>
  </mc:AlternateContent>
  <xr:revisionPtr revIDLastSave="0" documentId="13_ncr:1_{60414EA6-F673-4EA4-9FB8-BE19E91E0337}" xr6:coauthVersionLast="47" xr6:coauthVersionMax="47" xr10:uidLastSave="{00000000-0000-0000-0000-000000000000}"/>
  <bookViews>
    <workbookView xWindow="-120" yWindow="-120" windowWidth="29040" windowHeight="15720" tabRatio="784" firstSheet="1" activeTab="1" xr2:uid="{00000000-000D-0000-FFFF-FFFF00000000}"/>
  </bookViews>
  <sheets>
    <sheet name="Überblick" sheetId="1" r:id="rId1"/>
    <sheet name="Abfall" sheetId="7" r:id="rId2"/>
    <sheet name="Einkauf" sheetId="23" r:id="rId3"/>
    <sheet name="Ernährung" sheetId="16" r:id="rId4"/>
    <sheet name="Kompensation &amp; C-Bindung" sheetId="18" r:id="rId5"/>
    <sheet name="Kommunikation" sheetId="17" r:id="rId6"/>
    <sheet name="Mobilität " sheetId="19" r:id="rId7"/>
    <sheet name="Strom" sheetId="21" r:id="rId8"/>
    <sheet name="Wärme" sheetId="22" r:id="rId9"/>
    <sheet name="Quellen" sheetId="28" state="veryHidden" r:id="rId10"/>
    <sheet name="Hilfe" sheetId="24" r:id="rId11"/>
    <sheet name="Faktoren" sheetId="25" state="veryHidden" r:id="rId12"/>
    <sheet name="Übersicht Emissionsfaktoren" sheetId="27" state="veryHidden" r:id="rId13"/>
    <sheet name="Schlüsselprojekt" sheetId="2" state="veryHidden" r:id="rId14"/>
    <sheet name="Status" sheetId="3" state="veryHidden" r:id="rId15"/>
  </sheets>
  <externalReferences>
    <externalReference r:id="rId16"/>
    <externalReference r:id="rId1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5" i="22" l="1"/>
  <c r="O17" i="22"/>
  <c r="O18" i="22"/>
  <c r="O19" i="22"/>
  <c r="O20" i="22"/>
  <c r="O21" i="22"/>
  <c r="O23" i="22"/>
  <c r="O22" i="22"/>
  <c r="O24" i="22"/>
  <c r="P9" i="21"/>
  <c r="P11" i="21"/>
  <c r="P12" i="21"/>
  <c r="P10" i="21"/>
  <c r="P11" i="23"/>
  <c r="P12" i="23"/>
  <c r="P9" i="7"/>
  <c r="P10" i="7"/>
  <c r="P11" i="7"/>
  <c r="P12" i="7"/>
  <c r="E118" i="25"/>
  <c r="E117" i="25"/>
  <c r="E116" i="25"/>
  <c r="E108" i="25"/>
  <c r="E107" i="25"/>
  <c r="E101" i="25"/>
  <c r="E100" i="25"/>
  <c r="E99" i="25"/>
  <c r="E103" i="25"/>
  <c r="E102" i="25"/>
  <c r="E98" i="25"/>
  <c r="E97" i="25"/>
  <c r="E96" i="25"/>
  <c r="E93" i="25"/>
  <c r="E92" i="25"/>
  <c r="E95" i="25"/>
  <c r="E94" i="25"/>
  <c r="E91" i="25"/>
  <c r="E90" i="25"/>
  <c r="E86" i="25"/>
  <c r="E85" i="25"/>
  <c r="E84" i="25"/>
  <c r="E83" i="25"/>
  <c r="E89" i="25"/>
  <c r="E88" i="25"/>
  <c r="E87" i="25"/>
  <c r="E82" i="25"/>
  <c r="E81" i="25"/>
  <c r="E80" i="25"/>
  <c r="E77" i="25"/>
  <c r="E76" i="25"/>
  <c r="E75" i="25"/>
  <c r="E74" i="25"/>
  <c r="E73" i="25"/>
  <c r="E72" i="25"/>
  <c r="E71" i="25"/>
  <c r="E68" i="25"/>
  <c r="E67" i="25"/>
  <c r="E66" i="25"/>
  <c r="E65" i="25"/>
  <c r="E61" i="25"/>
  <c r="E60" i="25"/>
  <c r="E120" i="25"/>
  <c r="E111" i="25"/>
  <c r="E78" i="25"/>
  <c r="E69" i="25"/>
  <c r="E70" i="25"/>
  <c r="E79" i="25"/>
  <c r="E112" i="25"/>
  <c r="E121" i="25"/>
  <c r="Q11" i="22"/>
  <c r="Q10" i="22"/>
  <c r="Q9" i="22"/>
  <c r="Q8" i="22"/>
  <c r="E115" i="25"/>
  <c r="E106" i="25"/>
  <c r="E64" i="25"/>
  <c r="E59" i="25"/>
  <c r="E114" i="25"/>
  <c r="E105" i="25"/>
  <c r="E63" i="25"/>
  <c r="E58" i="25"/>
  <c r="E119" i="25"/>
  <c r="E113" i="25"/>
  <c r="E110" i="25"/>
  <c r="E109" i="25"/>
  <c r="E104" i="25"/>
  <c r="E62" i="25"/>
  <c r="G121" i="25"/>
  <c r="G120" i="25"/>
  <c r="G119" i="25"/>
  <c r="G118" i="25"/>
  <c r="G117" i="25"/>
  <c r="G116" i="25"/>
  <c r="G115" i="25"/>
  <c r="G114" i="25"/>
  <c r="G113" i="25"/>
  <c r="G106" i="25"/>
  <c r="G105" i="25"/>
  <c r="G104" i="25"/>
  <c r="G72" i="25"/>
  <c r="G71" i="25"/>
  <c r="G70" i="25"/>
  <c r="G69" i="25"/>
  <c r="G68" i="25"/>
  <c r="G67" i="25"/>
  <c r="G66" i="25"/>
  <c r="G65" i="25"/>
  <c r="G64" i="25"/>
  <c r="G63" i="25"/>
  <c r="G62" i="25"/>
  <c r="G61" i="25"/>
  <c r="G60" i="25"/>
  <c r="G59" i="25"/>
  <c r="G58" i="25"/>
  <c r="P11" i="19" l="1"/>
  <c r="P12" i="19"/>
  <c r="P9" i="19"/>
  <c r="P8" i="19"/>
  <c r="E39" i="25"/>
  <c r="P10" i="19"/>
  <c r="P8" i="21"/>
  <c r="E36" i="25"/>
  <c r="E45" i="25" l="1"/>
  <c r="E51" i="25"/>
  <c r="E50" i="25"/>
  <c r="E49" i="25"/>
  <c r="E48" i="25"/>
  <c r="E47" i="25"/>
  <c r="E46" i="25"/>
  <c r="P9" i="16"/>
  <c r="P10" i="16"/>
  <c r="P11" i="16"/>
  <c r="P12" i="16"/>
  <c r="E41" i="25"/>
  <c r="E33" i="25"/>
  <c r="P8" i="16" s="1"/>
  <c r="E30" i="25"/>
  <c r="I7" i="7" l="1"/>
  <c r="I13" i="7"/>
  <c r="J13" i="7"/>
  <c r="K13" i="7"/>
  <c r="E6" i="27" l="1"/>
  <c r="E7" i="27" s="1"/>
  <c r="E8" i="27"/>
  <c r="E14" i="27"/>
  <c r="E15" i="27"/>
  <c r="E16" i="27"/>
  <c r="E10" i="25" s="1"/>
  <c r="P9" i="23" s="1"/>
  <c r="E17" i="27"/>
  <c r="E11" i="25" s="1"/>
  <c r="E18" i="27"/>
  <c r="E19" i="27"/>
  <c r="E20" i="27"/>
  <c r="E22" i="27"/>
  <c r="E19" i="25" s="1"/>
  <c r="E23" i="27"/>
  <c r="E20" i="25" s="1"/>
  <c r="E24" i="27"/>
  <c r="E25" i="27"/>
  <c r="E26" i="27"/>
  <c r="E29" i="27"/>
  <c r="E30" i="27"/>
  <c r="E28" i="27" s="1"/>
  <c r="E31" i="27"/>
  <c r="E33" i="27"/>
  <c r="E34" i="27"/>
  <c r="E35" i="27"/>
  <c r="E37" i="27"/>
  <c r="E38" i="27"/>
  <c r="E39" i="27"/>
  <c r="E40" i="27"/>
  <c r="E41" i="27"/>
  <c r="E45" i="27"/>
  <c r="E29" i="25" s="1"/>
  <c r="E47" i="27"/>
  <c r="E31" i="25" s="1"/>
  <c r="E48" i="27"/>
  <c r="E32" i="25" s="1"/>
  <c r="E50" i="27"/>
  <c r="E34" i="25" s="1"/>
  <c r="E53" i="27"/>
  <c r="E54" i="27"/>
  <c r="E57" i="27"/>
  <c r="E56" i="27" s="1"/>
  <c r="E58" i="27"/>
  <c r="E60" i="27"/>
  <c r="E61" i="27"/>
  <c r="E63" i="27"/>
  <c r="E64" i="27"/>
  <c r="E62" i="27" s="1"/>
  <c r="E66" i="27"/>
  <c r="E65" i="27" s="1"/>
  <c r="E67" i="27"/>
  <c r="E69" i="27"/>
  <c r="E74" i="27"/>
  <c r="E75" i="27"/>
  <c r="E73" i="27" s="1"/>
  <c r="E86" i="27"/>
  <c r="E87" i="27"/>
  <c r="E89" i="27"/>
  <c r="E90" i="27"/>
  <c r="E92" i="27"/>
  <c r="E93" i="27"/>
  <c r="E96" i="27"/>
  <c r="E97" i="27"/>
  <c r="E98" i="27"/>
  <c r="E100" i="27"/>
  <c r="E102" i="27"/>
  <c r="E103" i="27"/>
  <c r="E104" i="27"/>
  <c r="E105" i="27"/>
  <c r="E106" i="27"/>
  <c r="E121" i="27"/>
  <c r="E120" i="27" s="1"/>
  <c r="E123" i="27" s="1"/>
  <c r="E122" i="27"/>
  <c r="E126" i="27"/>
  <c r="E127" i="27"/>
  <c r="E6" i="25"/>
  <c r="E4" i="25"/>
  <c r="E36" i="27" l="1"/>
  <c r="E32" i="27"/>
  <c r="E59" i="27"/>
  <c r="E27" i="25"/>
  <c r="E26" i="25"/>
  <c r="E16" i="25"/>
  <c r="E12" i="25"/>
  <c r="E21" i="27"/>
  <c r="E15" i="25" s="1"/>
  <c r="E17" i="25"/>
  <c r="E28" i="25"/>
  <c r="E125" i="27"/>
  <c r="E9" i="25"/>
  <c r="E38" i="25"/>
  <c r="E37" i="25"/>
  <c r="E14" i="25"/>
  <c r="E13" i="25"/>
  <c r="E18" i="25"/>
  <c r="E43" i="25"/>
  <c r="E42" i="25"/>
  <c r="E40" i="25"/>
  <c r="E25" i="25"/>
  <c r="P8" i="23"/>
  <c r="P10" i="23"/>
  <c r="E23" i="25"/>
  <c r="E24" i="25"/>
  <c r="E5" i="25"/>
  <c r="P8" i="7"/>
  <c r="I7" i="22"/>
  <c r="I7" i="21"/>
  <c r="I7" i="19"/>
  <c r="I7" i="18"/>
  <c r="I7" i="17"/>
  <c r="I7" i="16"/>
  <c r="I7" i="23"/>
  <c r="C20" i="1"/>
  <c r="I13" i="17" l="1"/>
  <c r="I13" i="16"/>
  <c r="E40" i="1"/>
  <c r="E48" i="1"/>
  <c r="E46" i="1"/>
  <c r="E44" i="1"/>
  <c r="E42" i="1"/>
  <c r="J13" i="16"/>
  <c r="K13" i="16"/>
  <c r="K13" i="23"/>
  <c r="G22" i="1" s="1"/>
  <c r="J13" i="23"/>
  <c r="F22" i="1" s="1"/>
  <c r="I13" i="23"/>
  <c r="E22" i="1" s="1"/>
  <c r="G23" i="1" l="1"/>
  <c r="F23" i="1"/>
  <c r="E23" i="1"/>
  <c r="K13" i="22"/>
  <c r="G27" i="1" s="1"/>
  <c r="J13" i="22"/>
  <c r="F27" i="1" s="1"/>
  <c r="I13" i="22"/>
  <c r="E27" i="1" s="1"/>
  <c r="K13" i="21"/>
  <c r="G26" i="1" s="1"/>
  <c r="J13" i="21"/>
  <c r="F26" i="1" s="1"/>
  <c r="I13" i="21"/>
  <c r="E26" i="1" s="1"/>
  <c r="K13" i="19"/>
  <c r="G25" i="1" s="1"/>
  <c r="J13" i="19"/>
  <c r="F25" i="1" s="1"/>
  <c r="I13" i="19"/>
  <c r="E25" i="1" s="1"/>
  <c r="K13" i="18"/>
  <c r="G31" i="1" s="1"/>
  <c r="J13" i="18"/>
  <c r="F31" i="1" s="1"/>
  <c r="I13" i="18"/>
  <c r="E31" i="1" s="1"/>
  <c r="K13" i="17"/>
  <c r="G24" i="1" s="1"/>
  <c r="J13" i="17"/>
  <c r="F24" i="1" s="1"/>
  <c r="E24" i="1"/>
  <c r="E21" i="1"/>
  <c r="F21" i="1"/>
  <c r="G21" i="1"/>
  <c r="G20" i="1" l="1"/>
  <c r="K7" i="7" s="1"/>
  <c r="F20" i="1"/>
  <c r="J7" i="7" s="1"/>
  <c r="J7" i="21" l="1"/>
  <c r="J7" i="22"/>
  <c r="J7" i="19"/>
  <c r="J7" i="17"/>
  <c r="J7" i="16"/>
  <c r="J7" i="18"/>
  <c r="K7" i="16"/>
  <c r="K7" i="21"/>
  <c r="K7" i="22"/>
  <c r="K7" i="19"/>
  <c r="K7" i="17"/>
  <c r="K7" i="18"/>
  <c r="J7" i="23"/>
  <c r="K7" i="23"/>
  <c r="F28" i="1"/>
  <c r="G28" i="1"/>
  <c r="E28" i="1"/>
  <c r="E29" i="1" l="1"/>
  <c r="E30" i="1"/>
  <c r="G29" i="1"/>
  <c r="G30" i="1"/>
  <c r="F29" i="1"/>
  <c r="F30" i="1"/>
</calcChain>
</file>

<file path=xl/sharedStrings.xml><?xml version="1.0" encoding="utf-8"?>
<sst xmlns="http://schemas.openxmlformats.org/spreadsheetml/2006/main" count="1319" uniqueCount="682">
  <si>
    <t>Anzahl der umgesetzen Maßnahmen</t>
  </si>
  <si>
    <t>Anzahl der in Umsetzung befindlichen Maßnahmen</t>
  </si>
  <si>
    <t>Anzahl der zukünftig geplanten Maßnahmen</t>
  </si>
  <si>
    <t>Maßnahme</t>
  </si>
  <si>
    <t>Nr.</t>
  </si>
  <si>
    <t>Status</t>
  </si>
  <si>
    <t>Schlüssel-
projekt</t>
  </si>
  <si>
    <t>Summen</t>
  </si>
  <si>
    <t>Akteure für die Umsetzung</t>
  </si>
  <si>
    <t>Beschreibung der Maßnahme</t>
  </si>
  <si>
    <t>Verant-wortlich</t>
  </si>
  <si>
    <t>Ja</t>
  </si>
  <si>
    <t>Nein</t>
  </si>
  <si>
    <t>Umsetzung nicht möglich</t>
  </si>
  <si>
    <t>umgesetzt</t>
  </si>
  <si>
    <t>wird laufend umgesetzt</t>
  </si>
  <si>
    <t>In Umsetzung (Anfang)</t>
  </si>
  <si>
    <t>In Umsetzung (Mitte)</t>
  </si>
  <si>
    <t>In Umsetzung (Ende)</t>
  </si>
  <si>
    <t>zukünftiger Termin</t>
  </si>
  <si>
    <t>bisher nicht umgesetzt</t>
  </si>
  <si>
    <t>EK1</t>
  </si>
  <si>
    <t>EK2</t>
  </si>
  <si>
    <t>EK3</t>
  </si>
  <si>
    <t>EK4</t>
  </si>
  <si>
    <t>EK5</t>
  </si>
  <si>
    <t>Überblick über die Maßnahmen des Klimaschutzplans</t>
  </si>
  <si>
    <t xml:space="preserve">Anzahl der nicht umsetzbaren Maßnahmen </t>
  </si>
  <si>
    <t>Abfall</t>
  </si>
  <si>
    <t>Einkauf</t>
  </si>
  <si>
    <t>Ernährung</t>
  </si>
  <si>
    <t>Strom</t>
  </si>
  <si>
    <t>Wärme</t>
  </si>
  <si>
    <t>Kommunikation &amp; Vernetzung</t>
  </si>
  <si>
    <t>Mobilität</t>
  </si>
  <si>
    <t>KV1</t>
  </si>
  <si>
    <t>KV2</t>
  </si>
  <si>
    <t>KV3</t>
  </si>
  <si>
    <t>KV4</t>
  </si>
  <si>
    <t>KV5</t>
  </si>
  <si>
    <t>KO1</t>
  </si>
  <si>
    <t>KO2</t>
  </si>
  <si>
    <t>KO3</t>
  </si>
  <si>
    <t>KO4</t>
  </si>
  <si>
    <t>KO5</t>
  </si>
  <si>
    <t>MO1</t>
  </si>
  <si>
    <t>MO2</t>
  </si>
  <si>
    <t>MO3</t>
  </si>
  <si>
    <t>MO4</t>
  </si>
  <si>
    <t>MO5</t>
  </si>
  <si>
    <t>ST1</t>
  </si>
  <si>
    <t>ST2</t>
  </si>
  <si>
    <t>ST3</t>
  </si>
  <si>
    <t>ST4</t>
  </si>
  <si>
    <t>ST5</t>
  </si>
  <si>
    <t>Ausgangssituation</t>
  </si>
  <si>
    <t>WÄ1</t>
  </si>
  <si>
    <t>WÄ2</t>
  </si>
  <si>
    <t>WÄ3</t>
  </si>
  <si>
    <t>WÄ4</t>
  </si>
  <si>
    <t>WÄ5</t>
  </si>
  <si>
    <t>AF1</t>
  </si>
  <si>
    <t>AF2</t>
  </si>
  <si>
    <t>AF3</t>
  </si>
  <si>
    <t>AF4</t>
  </si>
  <si>
    <t>AF5</t>
  </si>
  <si>
    <t>Planungstabelle zur Erstellung des Klimaschutzplan</t>
  </si>
  <si>
    <t>Übersicht über die Planungsziele</t>
  </si>
  <si>
    <t>kurzfristig</t>
  </si>
  <si>
    <t>mittelfristig</t>
  </si>
  <si>
    <t>langfristig</t>
  </si>
  <si>
    <r>
      <t>Geplante CO</t>
    </r>
    <r>
      <rPr>
        <b/>
        <vertAlign val="subscript"/>
        <sz val="16"/>
        <rFont val="Calibri"/>
        <family val="2"/>
        <scheme val="minor"/>
      </rPr>
      <t>2</t>
    </r>
    <r>
      <rPr>
        <b/>
        <sz val="16"/>
        <rFont val="Calibri"/>
        <family val="2"/>
        <scheme val="minor"/>
      </rPr>
      <t>-Reduktion insgesamt</t>
    </r>
  </si>
  <si>
    <r>
      <t>Übersicht CO</t>
    </r>
    <r>
      <rPr>
        <b/>
        <vertAlign val="subscript"/>
        <sz val="16"/>
        <color theme="1"/>
        <rFont val="Calibri"/>
        <family val="2"/>
        <scheme val="minor"/>
      </rPr>
      <t>2</t>
    </r>
    <r>
      <rPr>
        <b/>
        <sz val="16"/>
        <color theme="1"/>
        <rFont val="Calibri"/>
        <family val="2"/>
        <scheme val="minor"/>
      </rPr>
      <t>-Minderungsziele laut Klimaschutzplan</t>
    </r>
  </si>
  <si>
    <t>ER1</t>
  </si>
  <si>
    <t>ER2</t>
  </si>
  <si>
    <t>ER3</t>
  </si>
  <si>
    <t>ER4</t>
  </si>
  <si>
    <t>ER5</t>
  </si>
  <si>
    <t>Verant-
wortlich</t>
  </si>
  <si>
    <t>Anzahl aller Maßnahmen im Klimaschutzplan</t>
  </si>
  <si>
    <r>
      <t xml:space="preserve">Die folgende Übersicht gibt einen Überblick über die Anzahl der Maßnahmen im Klimaschutzplan und spiegelt den aktuellen Stand der Umsetzung wider. Die Übersicht wird ebenfalls automatisch ergänzt und erfordert hier keine eigenen Eintragungen. 
Die </t>
    </r>
    <r>
      <rPr>
        <sz val="12"/>
        <color rgb="FFFF0000"/>
        <rFont val="Calibri"/>
        <family val="2"/>
        <scheme val="minor"/>
      </rPr>
      <t>rote Kategorie</t>
    </r>
    <r>
      <rPr>
        <sz val="12"/>
        <color theme="1"/>
        <rFont val="Calibri"/>
        <family val="2"/>
        <scheme val="minor"/>
      </rPr>
      <t xml:space="preserve"> "Anzahl der nicht umsetzbaren Maßnahmen" wird erst beim zweiten Klimachutzplan relevant, wenn geplante Klimaschutzmaßnahmen nicht umgesetzt werden konnten.</t>
    </r>
  </si>
  <si>
    <r>
      <t>Bitte tragen Sie hier den von Ihnen ermittelten CO</t>
    </r>
    <r>
      <rPr>
        <vertAlign val="subscript"/>
        <sz val="12"/>
        <color rgb="FF000000"/>
        <rFont val="Calibri"/>
        <family val="2"/>
        <scheme val="minor"/>
      </rPr>
      <t>2</t>
    </r>
    <r>
      <rPr>
        <sz val="12"/>
        <color rgb="FF000000"/>
        <rFont val="Calibri"/>
        <family val="2"/>
        <scheme val="minor"/>
      </rPr>
      <t>-Fußabruck ein:</t>
    </r>
  </si>
  <si>
    <r>
      <t>In der folgenden Tabelle sind die geplanten CO</t>
    </r>
    <r>
      <rPr>
        <vertAlign val="subscript"/>
        <sz val="12"/>
        <color rgb="FF000000"/>
        <rFont val="Calibri"/>
        <family val="2"/>
        <scheme val="minor"/>
      </rPr>
      <t>2</t>
    </r>
    <r>
      <rPr>
        <sz val="12"/>
        <color rgb="FF000000"/>
        <rFont val="Calibri"/>
        <family val="2"/>
        <scheme val="minor"/>
      </rPr>
      <t xml:space="preserve">-Einsparziele aus allen Handlungsfeldern zusammengefasst. Die Daten werden automatisch übernommen. Bitte geben Sie hier deshalb keine Daten ein mit Ausnahme des Startjahres (siehe Pfeil). </t>
    </r>
  </si>
  <si>
    <r>
      <t>Bitte tragen Sie in die Tabelle die von Ihrer Schule geplanten Klimaschutzmaßnahmen ein und hinterlegen Sie dabei ihre notwendigen Informationen. Pro Handlungsfeld müssen mindestens drei Maßnahmen vorhanden sein, wovon mindestens eine Maßnahme abgeschlossen sein muss. Auch Maßnahmen aus der Vergangenheit können zur Dokumentation eingetragen werden. 
Die Eintragungen in die Tabelle werden</t>
    </r>
    <r>
      <rPr>
        <b/>
        <sz val="11"/>
        <color rgb="FF000000"/>
        <rFont val="Calibri"/>
        <family val="2"/>
        <scheme val="minor"/>
      </rPr>
      <t xml:space="preserve"> automatisch in die Word-Vorlage übernommen</t>
    </r>
    <r>
      <rPr>
        <sz val="11"/>
        <color rgb="FF000000"/>
        <rFont val="Calibri"/>
        <family val="2"/>
        <scheme val="minor"/>
      </rPr>
      <t>. Eintragungen in der Wordatei werden jedoch nicht in die Excel-Vorlage übertragen.</t>
    </r>
  </si>
  <si>
    <t>Gesamtemissionen</t>
  </si>
  <si>
    <t>verbleibende Emissionen</t>
  </si>
  <si>
    <t>Davon wurden durch die Finanzierung von 
internationalen Klimaschutzprojekten kompensiert:</t>
  </si>
  <si>
    <t xml:space="preserve">Unten finden Sie in den farbigen Registern zu jedem Handlungsfeld eine eigene Planungstabelle. Tragen Sie dort die Klimaschutzmaßnahmen ein, die Sie als Schule umsetzen möchten oder bereits umgesetzt haben. Auch Maßnahmen, die in der Vergangenheit bereits umgesetzt worden sind, können zur Dokumentation eingetragen werden. Zusätzlich müssen aber auch immer zukünftige Maßnahmen in einem Handlungsfeld enthalten sein.  </t>
  </si>
  <si>
    <t>Start der Maßnahme</t>
  </si>
  <si>
    <t>https://www.klimaschule.bayern.de/klimaschutzplan/</t>
  </si>
  <si>
    <t>Weitere Hilfestellungen zur Erstellung des Klimaschutzplans finden Sie auf der Website der Klimaschule Bayern:</t>
  </si>
  <si>
    <r>
      <t>Geplante CO</t>
    </r>
    <r>
      <rPr>
        <vertAlign val="subscript"/>
        <sz val="10"/>
        <color theme="0"/>
        <rFont val="Calibri"/>
        <family val="2"/>
        <scheme val="minor"/>
      </rPr>
      <t>2</t>
    </r>
    <r>
      <rPr>
        <sz val="10"/>
        <color theme="0"/>
        <rFont val="Calibri"/>
        <family val="2"/>
        <scheme val="minor"/>
      </rPr>
      <t>-Reduktion</t>
    </r>
  </si>
  <si>
    <t>Restmüll reduzieren (Einheit m³)</t>
  </si>
  <si>
    <t>Papiermüll reduzieren (Einheit m³)</t>
  </si>
  <si>
    <t>Papiermüll reduzieren (Einheit t)</t>
  </si>
  <si>
    <t>Geplante Einsparung in %</t>
  </si>
  <si>
    <t>Restmüll</t>
  </si>
  <si>
    <t>E1</t>
  </si>
  <si>
    <t>Emission pro m³</t>
  </si>
  <si>
    <t>kg CO2-Äquiv./ m³</t>
  </si>
  <si>
    <t>E2</t>
  </si>
  <si>
    <t>Emisison pro Tonne</t>
  </si>
  <si>
    <t>kg CO2-Äquiv./ Tonne</t>
  </si>
  <si>
    <t>Papiermüll</t>
  </si>
  <si>
    <t>E3</t>
  </si>
  <si>
    <t>E4</t>
  </si>
  <si>
    <t>Einsparung pro m³</t>
  </si>
  <si>
    <t>Einsparung pro Tonne</t>
  </si>
  <si>
    <t>Sektor</t>
  </si>
  <si>
    <t>Einheit</t>
  </si>
  <si>
    <t>Einsparungsfaktor pro Einheit</t>
  </si>
  <si>
    <t>Kopierpapier: Frischfaserpapier durch Recyclingpapier ersetzen</t>
  </si>
  <si>
    <t>Kopierpapier: Papierverbrauch reduzieren (Frischfaser)</t>
  </si>
  <si>
    <t>Kopierpapier: Papierverbrauch reduzieren (Recycling)</t>
  </si>
  <si>
    <t>Papierhandtücher: Verbrauch reduzieren (Recycling)</t>
  </si>
  <si>
    <t>Papierhandtücher: Verbrauch reduzieren (Frischfaser)</t>
  </si>
  <si>
    <t>Einsparung pro Blatt</t>
  </si>
  <si>
    <t>BAFA</t>
  </si>
  <si>
    <t>Faktor ändert sich nicht</t>
  </si>
  <si>
    <t>kg CO2-Äquiv./ kg Kältemittel</t>
  </si>
  <si>
    <t>GWP (global warming potential)</t>
  </si>
  <si>
    <t>E123</t>
  </si>
  <si>
    <t>R-846 (SF6)</t>
  </si>
  <si>
    <t>E122</t>
  </si>
  <si>
    <t>R-1336mzz(Z)</t>
  </si>
  <si>
    <t>E121</t>
  </si>
  <si>
    <t>R-1234ze</t>
  </si>
  <si>
    <t>E120</t>
  </si>
  <si>
    <t>R-1234yf</t>
  </si>
  <si>
    <t>E119</t>
  </si>
  <si>
    <t>R-723 (DME/NH3)</t>
  </si>
  <si>
    <t>E118</t>
  </si>
  <si>
    <t>R-290/R-170</t>
  </si>
  <si>
    <t>E117</t>
  </si>
  <si>
    <t>R-290/R-600a</t>
  </si>
  <si>
    <t>E116</t>
  </si>
  <si>
    <t>R-1270 (Propan)</t>
  </si>
  <si>
    <t>E115</t>
  </si>
  <si>
    <t>R-600a (Isobutan)</t>
  </si>
  <si>
    <t>E114</t>
  </si>
  <si>
    <t>R-600 (Butan)</t>
  </si>
  <si>
    <t>E113</t>
  </si>
  <si>
    <t>R-744 (CO2)</t>
  </si>
  <si>
    <t>E112</t>
  </si>
  <si>
    <t>R-718 (H2o)</t>
  </si>
  <si>
    <t>E111</t>
  </si>
  <si>
    <t>R-717 (NH3)</t>
  </si>
  <si>
    <t>E110</t>
  </si>
  <si>
    <t>R-290 (Propan)</t>
  </si>
  <si>
    <t>E109</t>
  </si>
  <si>
    <t>R-170 (Ethan)</t>
  </si>
  <si>
    <t>E108</t>
  </si>
  <si>
    <t>R-513A</t>
  </si>
  <si>
    <t>E107</t>
  </si>
  <si>
    <t>R-455A</t>
  </si>
  <si>
    <t>E106</t>
  </si>
  <si>
    <t>R-454A</t>
  </si>
  <si>
    <t>E105</t>
  </si>
  <si>
    <t>R-452A</t>
  </si>
  <si>
    <t>E104</t>
  </si>
  <si>
    <t>R-450A</t>
  </si>
  <si>
    <t>E103</t>
  </si>
  <si>
    <t>R-449A</t>
  </si>
  <si>
    <t>E102</t>
  </si>
  <si>
    <t>R-448A</t>
  </si>
  <si>
    <t>E101</t>
  </si>
  <si>
    <t>R-508B</t>
  </si>
  <si>
    <t>E100</t>
  </si>
  <si>
    <t>R-508A</t>
  </si>
  <si>
    <t>E99</t>
  </si>
  <si>
    <t>R-507A</t>
  </si>
  <si>
    <t>E98</t>
  </si>
  <si>
    <t>R-437A</t>
  </si>
  <si>
    <t>E97</t>
  </si>
  <si>
    <t>R-422D</t>
  </si>
  <si>
    <t>E96</t>
  </si>
  <si>
    <t>R-422A</t>
  </si>
  <si>
    <t>E95</t>
  </si>
  <si>
    <t>R-417A</t>
  </si>
  <si>
    <t>E94</t>
  </si>
  <si>
    <t>R-413A</t>
  </si>
  <si>
    <t>E93</t>
  </si>
  <si>
    <t>R-410A</t>
  </si>
  <si>
    <t>E92</t>
  </si>
  <si>
    <t>R-407F</t>
  </si>
  <si>
    <t>E91</t>
  </si>
  <si>
    <t>R407C</t>
  </si>
  <si>
    <t>E90</t>
  </si>
  <si>
    <t>R-404A</t>
  </si>
  <si>
    <t>E89</t>
  </si>
  <si>
    <t>R-143a</t>
  </si>
  <si>
    <t>E88</t>
  </si>
  <si>
    <t>R-134a</t>
  </si>
  <si>
    <t>E87</t>
  </si>
  <si>
    <t>R-32</t>
  </si>
  <si>
    <t>E86</t>
  </si>
  <si>
    <t>R-23</t>
  </si>
  <si>
    <t>E85</t>
  </si>
  <si>
    <t>R1224yd(Z)</t>
  </si>
  <si>
    <t>E84</t>
  </si>
  <si>
    <t>R-1233zd(Z)</t>
  </si>
  <si>
    <t>E83</t>
  </si>
  <si>
    <t>R-1233zd ( E)</t>
  </si>
  <si>
    <t>E82</t>
  </si>
  <si>
    <t>R-409A (FX-56)</t>
  </si>
  <si>
    <t>E81</t>
  </si>
  <si>
    <t>R-408A (FX-10)</t>
  </si>
  <si>
    <t>E80</t>
  </si>
  <si>
    <t>R-402B (HP81)</t>
  </si>
  <si>
    <t>E79</t>
  </si>
  <si>
    <t>R-402A (HP80)</t>
  </si>
  <si>
    <t>E78</t>
  </si>
  <si>
    <t>R-401A (MP39)</t>
  </si>
  <si>
    <t>E77</t>
  </si>
  <si>
    <t>R-22</t>
  </si>
  <si>
    <t>E76</t>
  </si>
  <si>
    <t>R-502</t>
  </si>
  <si>
    <t>E75</t>
  </si>
  <si>
    <t>R13B1</t>
  </si>
  <si>
    <t>E74</t>
  </si>
  <si>
    <t>R-13</t>
  </si>
  <si>
    <t>E73</t>
  </si>
  <si>
    <t>R-12</t>
  </si>
  <si>
    <t>E72</t>
  </si>
  <si>
    <t>R-11</t>
  </si>
  <si>
    <t>Emissionfaktoren verschiedener Kühlgase in Gebäudeklimaanlagen</t>
  </si>
  <si>
    <t>Sonstiges</t>
  </si>
  <si>
    <t>https://www.gov.uk/government/publications/greenhouse-gas-reporting-conversion-factors-2021</t>
  </si>
  <si>
    <t>Defra 2021</t>
  </si>
  <si>
    <t>Water treatment</t>
  </si>
  <si>
    <t>Abwasser (m³)</t>
  </si>
  <si>
    <t>Water supply</t>
  </si>
  <si>
    <t>Frischwasserberbrauch (m³)</t>
  </si>
  <si>
    <t>E70</t>
  </si>
  <si>
    <t>Leitungswasser gesamt (Frischwasser + Abwasser)</t>
  </si>
  <si>
    <t>Wasser</t>
  </si>
  <si>
    <t>Annahme: pro m² Kollektorfläche werden 350kWh Wärmemenge jährlich erzeugt</t>
  </si>
  <si>
    <t>kg CO2-Äquiv./ m²*a</t>
  </si>
  <si>
    <t>Emission pro m² und Jahr</t>
  </si>
  <si>
    <t>E69</t>
  </si>
  <si>
    <t>Solarthermie</t>
  </si>
  <si>
    <t>kg CO2-Äquiv./ kWh</t>
  </si>
  <si>
    <t>Emission pro kWh</t>
  </si>
  <si>
    <t>Solarthermie - Vakuumröhrenkollektor</t>
  </si>
  <si>
    <t>Solarthermie - Flachkollektor</t>
  </si>
  <si>
    <t>https://www.umweltbundesamt.de/sites/default/files/medien/1410/publikationen/2021-12-13_climate-change_71-2021_emissionsbilanz_erneuerbarer_energien_2020.pdf</t>
  </si>
  <si>
    <t>Mittelwert für Vorkette wurde 80/20 gewichtet, da Flachkollektoren 80% der in Deutschland installierten Solarthermieflächen ausmachen. "Hilfsenergie" wurde nicht berücksichtigt, da diese als vorwiegende Pump-Energie bereits beim separat erfassten Strombezug inkludiert ist.</t>
  </si>
  <si>
    <t>E68</t>
  </si>
  <si>
    <t>https://www.verbraucherzentrale.de/wissen/energie/erneuerbare-energien/solarthermie-solarenergie-fuer-heizung-und-warmwasser-nutzen-5568</t>
  </si>
  <si>
    <t>m² nach kWh</t>
  </si>
  <si>
    <t>U8</t>
  </si>
  <si>
    <t>Solarthermie: m² nach kWh</t>
  </si>
  <si>
    <t>Bundesamt für Wirtschaft und Ausfuhrkontrolle, 2021</t>
  </si>
  <si>
    <t>Liter nach kWh</t>
  </si>
  <si>
    <t>U7</t>
  </si>
  <si>
    <t>Heizöl: Liter nach kWh</t>
  </si>
  <si>
    <t>m³ nach kWh</t>
  </si>
  <si>
    <t>U6</t>
  </si>
  <si>
    <t>Flüssiggas: m³ nach kWh</t>
  </si>
  <si>
    <t>U5</t>
  </si>
  <si>
    <t>Erdgas: m³ nach kWh</t>
  </si>
  <si>
    <t>https://www.lwf.bayern.de/mam/cms04/service/dateien/mb-12-energiegehalt-holz.pdf</t>
  </si>
  <si>
    <t>Bayerische Landesanstalt für Wald und Fortwirtschaft, 2014, Berechnung eza!</t>
  </si>
  <si>
    <t>U4</t>
  </si>
  <si>
    <t>Biomasse: Pellets, m³ nach kWh</t>
  </si>
  <si>
    <t>Tonne nach kWh</t>
  </si>
  <si>
    <t>U3</t>
  </si>
  <si>
    <t>Biomasse: Pellets, Tonne nach kWh</t>
  </si>
  <si>
    <t>U2</t>
  </si>
  <si>
    <t>Biomasse: Hackschnitzel, Tonne nach kWh</t>
  </si>
  <si>
    <t>Srm nach kWh</t>
  </si>
  <si>
    <t>U1</t>
  </si>
  <si>
    <t>Biomasse: Hackschnitzel, Srm nach kWh</t>
  </si>
  <si>
    <t>Umrechnungsfaktoren
Wärme in kWh</t>
  </si>
  <si>
    <t>https://www.umweltbundesamt.de/themen/klima-energie/energieversorgung/strom-waermeversorgung-in-zahlen?sprungmarke=Strommix#Strommix</t>
  </si>
  <si>
    <t>Vgl. Angabe im Sektor Strom</t>
  </si>
  <si>
    <t>E67</t>
  </si>
  <si>
    <t>Strom (Deutscher Strommix Netzbezug)</t>
  </si>
  <si>
    <t xml:space="preserve">lt. Bisko Endeergie Wärme </t>
  </si>
  <si>
    <t>Ein Liter Heizöl enthält 9,94 kWh</t>
  </si>
  <si>
    <t>E66</t>
  </si>
  <si>
    <t>Heizöl</t>
  </si>
  <si>
    <t>Emission pro Liter</t>
  </si>
  <si>
    <t>E65</t>
  </si>
  <si>
    <t>E64</t>
  </si>
  <si>
    <t>Flüssiggas</t>
  </si>
  <si>
    <t xml:space="preserve">lt. Bisko Endenergie Wärme </t>
  </si>
  <si>
    <t>E63</t>
  </si>
  <si>
    <t>https://www.geg-info.de/geg/anlage_09_umrechnung_in_treibhausgasemissionen.htm</t>
  </si>
  <si>
    <t>nach GEG Anlage 9: Emissionsfaktoren Nr. 17</t>
  </si>
  <si>
    <t>kg CO2-Äquiv./ kWh (gelieferte Wärmemenge)</t>
  </si>
  <si>
    <t>E62</t>
  </si>
  <si>
    <t>Fernwärme (Industrielle Prozessabwärme)</t>
  </si>
  <si>
    <t>Eigenberechnung (Annahme: feuerungstechnischer Wirkungsgrad = 93% sowie Verluste über Fernwärmeleitung = 15%)</t>
  </si>
  <si>
    <t>E61</t>
  </si>
  <si>
    <t>Fernwärme (Hackschnitzel)</t>
  </si>
  <si>
    <t>nach GEG Anlage 9: Emissionsfaktoren Nr. 22</t>
  </si>
  <si>
    <t>neu: Fernwärme (Müll HKW) - Optional</t>
  </si>
  <si>
    <t>https://www.google.com/url?sa=t&amp;rct=j&amp;q=&amp;esrc=s&amp;source=web&amp;cd=&amp;ved=2ahUKEwiiztSCwOv3AhWLQvEDHfovCI8QFnoECAYQAQ&amp;url=https%3A%2F%2Fwww.umweltbundesamt.de%2Fsites%2Fdefault%2Ffiles%2Fmedien%2Fpublikation%2Flong%2F3476.pdf&amp;usg=AOvVaw0sMFtTuiahaNbZKRRCthDo</t>
  </si>
  <si>
    <t>Annahme: Verluste über Fernwärmeleitung = 15%  (Quelle: siehe Tabelle 19 - Emissionswert von "Müll-HKW-DT-EK")</t>
  </si>
  <si>
    <t>E60</t>
  </si>
  <si>
    <t>Fernwärme (Müll HKW) - Variante 1</t>
  </si>
  <si>
    <t>https://www.bafa.de/SharedDocs/Downloads/DE/Energie/eew_infoblatt_co2_faktoren_2021.pdf?__blob=publicationFile&amp;v=5</t>
  </si>
  <si>
    <t>E59</t>
  </si>
  <si>
    <t>Fernwärme (Biogas)</t>
  </si>
  <si>
    <t>E58</t>
  </si>
  <si>
    <t>Fernwärme (Erdgas)</t>
  </si>
  <si>
    <t>Quelle: siehe Tabelle 9 - Brennstoffdifferenzierte direkte und gesamte THG-Emissionsfaktoren
für Heizwerke im Jahr 2005</t>
  </si>
  <si>
    <t>E57</t>
  </si>
  <si>
    <t xml:space="preserve">        Braunkohle</t>
  </si>
  <si>
    <t xml:space="preserve">        Steinkohle</t>
  </si>
  <si>
    <t>Berechnung = Mittelwert Steinkohle und Braunkohle</t>
  </si>
  <si>
    <t>Fernwärme (Kohle)</t>
  </si>
  <si>
    <t>Umrechnung ist von Zustandszahl und Brennwert des Gases beim Verbraucher abhängig, daher ist eine Umrechnung mit Faktor 9,77 eine grobe Vereinfachung</t>
  </si>
  <si>
    <t>E56</t>
  </si>
  <si>
    <t>Erdgas</t>
  </si>
  <si>
    <t>E55</t>
  </si>
  <si>
    <t>E54</t>
  </si>
  <si>
    <t>Biomasse: Pellets</t>
  </si>
  <si>
    <t>Emission pro Tonne</t>
  </si>
  <si>
    <t>E53</t>
  </si>
  <si>
    <t>E52</t>
  </si>
  <si>
    <t>E51</t>
  </si>
  <si>
    <t>Biomasse: Hackschnitzel</t>
  </si>
  <si>
    <t>kg CO2-Äquiv./ Srm</t>
  </si>
  <si>
    <t>Emission pro Srm</t>
  </si>
  <si>
    <t>E50</t>
  </si>
  <si>
    <t>E49</t>
  </si>
  <si>
    <t>E48</t>
  </si>
  <si>
    <t>Biogas</t>
  </si>
  <si>
    <t>E47</t>
  </si>
  <si>
    <t>Eigenstromverbauch Wasserkraft</t>
  </si>
  <si>
    <t>E46</t>
  </si>
  <si>
    <t>Eigenstromverbrauch PV-Anlage</t>
  </si>
  <si>
    <t xml:space="preserve">https://www.umweltbundesamt.de/publikationen/emissionsbilanz-erneuerbarer-energietraeger-2020 </t>
  </si>
  <si>
    <t>Umweltbundesamt</t>
  </si>
  <si>
    <t>E45</t>
  </si>
  <si>
    <t>Ökostrom Netzbezug</t>
  </si>
  <si>
    <t>Der vorläufige Emissionsfaktor von 2021 (485g CO2-Äquiv./kWh) wird nicht herangezogen, da der Wert vom UBA bislang nicht bestätigt wurde.</t>
  </si>
  <si>
    <t>E44</t>
  </si>
  <si>
    <t>Deutscher Strommix Netzbezug</t>
  </si>
  <si>
    <t>DEFRA Conversion Factors 2021</t>
  </si>
  <si>
    <t>Emissionsfaktor von "Ferry - foot passenger"</t>
  </si>
  <si>
    <t>kg CO2-Äquiv./ Pkm</t>
  </si>
  <si>
    <t>Emission pro Pkm</t>
  </si>
  <si>
    <t>E43</t>
  </si>
  <si>
    <t>Schifffahrt</t>
  </si>
  <si>
    <t xml:space="preserve">ifeu 2021 auf Basis von TREMOD und unter Einbeziehung eines EW-Faktors von 2,7 (Emission Weighting Factor) </t>
  </si>
  <si>
    <t>Bezugsjahr 2019 wurde gewählt, da der Emissionsfaktor des Jahres 2020 durch die Auswirkungen der Coronapandemie nicht repräsentativ ist</t>
  </si>
  <si>
    <t xml:space="preserve">        Flugzeug (Ausland/ Interkontinental)</t>
  </si>
  <si>
    <t xml:space="preserve">        Flugzeug (Inland)</t>
  </si>
  <si>
    <t>https://www.umweltbundesamt.de/themen/verkehr-laerm/emissionsdaten#verkehrsmittelvergleich_personenverkehr_grafik</t>
  </si>
  <si>
    <t>Faktor ist berechneter Mischfaktor aus Inlands- und Auslands-/ Interkontinentalflügen</t>
  </si>
  <si>
    <t>E42</t>
  </si>
  <si>
    <t>Flugzeug</t>
  </si>
  <si>
    <t xml:space="preserve">        Straßen-, Stadt-, U-Bahn (Mischfaktor)</t>
  </si>
  <si>
    <t xml:space="preserve">        Linienbus Nahverkehr</t>
  </si>
  <si>
    <t xml:space="preserve">        Eisenbahn Nahverkehr</t>
  </si>
  <si>
    <t>Faktor ist berechneter Mischfaktor aus den verschiedenen ÖPNV-Verkehrsmitteln</t>
  </si>
  <si>
    <t>E41</t>
  </si>
  <si>
    <t>ÖPNV</t>
  </si>
  <si>
    <t>Emissionsfaktor von "Motorbike average"</t>
  </si>
  <si>
    <t>E40</t>
  </si>
  <si>
    <t>Motorrad/Roller</t>
  </si>
  <si>
    <t>https://www.epowers.org/elektro-scooter/co2-bilanz/</t>
  </si>
  <si>
    <t>Annahme: Durchschnittsverbrauch = 1,5 kWh/ 100 km</t>
  </si>
  <si>
    <t xml:space="preserve">        Betrieb mit Ökostrom</t>
  </si>
  <si>
    <t xml:space="preserve">        Betrieb mit deutschem Strommix</t>
  </si>
  <si>
    <t>Berechnung = Mittelwert aus Betrieb mit Strommix und Ökostrom</t>
  </si>
  <si>
    <t>E39</t>
  </si>
  <si>
    <t>E-Roller</t>
  </si>
  <si>
    <t>https://www.energie-experten.ch/de/mobilitaet/detail/e-bikes-uebernehmen-die-strasse.html</t>
  </si>
  <si>
    <t>Annahme: Durchschnittsverbrauch = 1,4 kWh/ 100 km</t>
  </si>
  <si>
    <t>E38</t>
  </si>
  <si>
    <t>E-Bike</t>
  </si>
  <si>
    <t>Annahme: Durchschnittsverbrauch pro 100km = 21 kWh</t>
  </si>
  <si>
    <t>Alleinfahrer-Emissionen durch 2,3 unter der Annahme, dass im Mittel 2,3 Personen pro Fahrgemeinschaft unterwegs sind</t>
  </si>
  <si>
    <t>E37</t>
  </si>
  <si>
    <r>
      <t>E-Auto Fahrgemeinschaft (</t>
    </r>
    <r>
      <rPr>
        <sz val="11"/>
        <color theme="1"/>
        <rFont val="Calibri"/>
        <family val="2"/>
      </rPr>
      <t>≥2 Personen)</t>
    </r>
  </si>
  <si>
    <t>E36</t>
  </si>
  <si>
    <t>E-Auto Alleinfahrt</t>
  </si>
  <si>
    <t>Tabelle "Vergleich der durchschnittlichen Treibhausgas-Emissionen einzelner Verkehrsmittel im Personenverkehr": Sonstige Reisebusse</t>
  </si>
  <si>
    <t>E35</t>
  </si>
  <si>
    <t>Reisebus</t>
  </si>
  <si>
    <t>E34</t>
  </si>
  <si>
    <r>
      <t>Auto Verbrennungsmotor Fahrgemeinschaft (</t>
    </r>
    <r>
      <rPr>
        <sz val="11"/>
        <color theme="1"/>
        <rFont val="Calibri"/>
        <family val="2"/>
      </rPr>
      <t>≥2 Pers.)</t>
    </r>
  </si>
  <si>
    <t>Faktor von 152g/km bezieht sich auf Auslastung des PKWs mit 1,4 Personen</t>
  </si>
  <si>
    <t>E33</t>
  </si>
  <si>
    <t>Auto Verbrennungsmotor Alleinfahrt</t>
  </si>
  <si>
    <t>Studie Öko-Instiut: COP 23 Umweltbericht Auswertung, 2018, S. 48 (515g)</t>
  </si>
  <si>
    <t>kg CO2-Äquiv./ Liter</t>
  </si>
  <si>
    <t>E32</t>
  </si>
  <si>
    <t>Erfrischungsgetränke pauschal</t>
  </si>
  <si>
    <t>https://www.ifeu.de/fileadmin/uploads/Reinhardt-Gaertner-Wagner-2020-Oekologische-Fu%C3%9Fabdruecke-von-Lebensmitteln-und-Gerichten-in-Deutschland-ifeu-2020.pdf</t>
  </si>
  <si>
    <t>Ökologische Fußabdrücke von Lebensmitteln und Gerichten in Deutschland (Guido Reinhardt, Sven Gärtner, Tobias Wagner - Heidelberg, 2020 - ifeu)</t>
  </si>
  <si>
    <t>Faktor von Sojamilch (häufigste Verwendung); Umrechnung mit Annahme: Dichte  = 1,0 kg/ Liter</t>
  </si>
  <si>
    <t>E31</t>
  </si>
  <si>
    <t>Milchgetränk vegan</t>
  </si>
  <si>
    <t>Umrechnung mit Annahme: Dichte Milch = 1,03kg/ Liter</t>
  </si>
  <si>
    <t>E30</t>
  </si>
  <si>
    <t>Milch</t>
  </si>
  <si>
    <t>Umrechnung Emissionsfaktor Kaffee von kg auf Liter; Annahme: mit einem kg Kaffeepulver können 15-20 Liter Kaffee gebrüht werden -&gt; Mittelwert = 17,5 Liter (-&gt; 57g Kaffeepulver werden pro Liter benötigt)</t>
  </si>
  <si>
    <t>E29</t>
  </si>
  <si>
    <t>Kaffee</t>
  </si>
  <si>
    <t>kg CO2-Äquiv./ kg Lebensmittel</t>
  </si>
  <si>
    <t>Emisison pro kg</t>
  </si>
  <si>
    <t>E28</t>
  </si>
  <si>
    <t>Ernährung-Getränke</t>
  </si>
  <si>
    <t>Wurst, Bratwurst, Thüringer Rostbratwurst; Annahme: Gewicht 80g pro Stück</t>
  </si>
  <si>
    <t>kg CO2-Äquiv./ Stück</t>
  </si>
  <si>
    <t>Emission pro Stück</t>
  </si>
  <si>
    <t>E27</t>
  </si>
  <si>
    <t>Dauerwurst</t>
  </si>
  <si>
    <t>g</t>
  </si>
  <si>
    <t xml:space="preserve">        Nussecke</t>
  </si>
  <si>
    <t xml:space="preserve">        Quarktasche</t>
  </si>
  <si>
    <t>Gewicht für süßes Stück ergibt sich aus Mittelwert eines Berliners, einer Quarktasche und einer Nussecke</t>
  </si>
  <si>
    <t xml:space="preserve">        Berliner</t>
  </si>
  <si>
    <t>Feinbackwaren: 1,6 kg CO2-Äquiv./kg Lebensmittel</t>
  </si>
  <si>
    <t>Emission pro Brötchen</t>
  </si>
  <si>
    <t>E26</t>
  </si>
  <si>
    <t>Süßes Stückchen (z.B. Croissants, Plunder,…)</t>
  </si>
  <si>
    <t>Brötchen, Weißbrot: 0,7 kg CO2-Äquiv./kg Lebensmittel; durchschn. Gewicht eines Brötchens: 30-50 Gramm -&gt; Mittelwert = 40g/ Brötchen</t>
  </si>
  <si>
    <t>kg CO2-Äquiv./ Brötchen</t>
  </si>
  <si>
    <t>E25</t>
  </si>
  <si>
    <t>Unbelegte Brötchen</t>
  </si>
  <si>
    <t>Wurst-Ersatz: 1,7 kg CO2-Äquiv./kg Lebensmittel; Annahme: ca. 30g Wurst-Ersatz/ Brötchen</t>
  </si>
  <si>
    <t>kg CO2-Äquiv.</t>
  </si>
  <si>
    <t xml:space="preserve">        Wurst-Ersatz, Durchschnitt (30g)</t>
  </si>
  <si>
    <t>Margarine, halbfett: 1,7 kg CO2-Äquiv./kg Lebensmittel; Annahme: ca. 10g Margarine/ Brötchen</t>
  </si>
  <si>
    <t xml:space="preserve">        Margarine, halbfett (10g)</t>
  </si>
  <si>
    <t xml:space="preserve">        Brötchen (40g)</t>
  </si>
  <si>
    <t>Zusammenstellung siehe unten</t>
  </si>
  <si>
    <t>Vegan belegtes Brötchen</t>
  </si>
  <si>
    <t>Käse, Durchschnitt: 5,7 kg CO2-Äquiv./kg Lebensmittel; Annahme: ca. 30g Käse/ Brötchen</t>
  </si>
  <si>
    <t xml:space="preserve">        Käse, Durchschnitt (30g)</t>
  </si>
  <si>
    <t>Butter: 9,0 kg CO2-Äquiv./kg Lebensmittel; Annahme: ca. 10g Butter/ Brötchen</t>
  </si>
  <si>
    <t xml:space="preserve">        Butter (10g)</t>
  </si>
  <si>
    <t>E23</t>
  </si>
  <si>
    <t>Vegetarisch belegtes Brötchen (mit Käse)</t>
  </si>
  <si>
    <t>Wurst, Durchschnitt: 2,9 kg CO2-Äquiv./kg Lebensmittel; Annahme: ca. 30g Käse/ Brötchen</t>
  </si>
  <si>
    <t xml:space="preserve">        Wurst, Durchschnitt (30g)</t>
  </si>
  <si>
    <t>E22</t>
  </si>
  <si>
    <t>Mit Wurst belegtes Brötchen</t>
  </si>
  <si>
    <t>Ernährung-Schulkiosk</t>
  </si>
  <si>
    <t>Eigenberechnung (siehe Tabelle "Berechnung Gerichte"): Mittelwert verschiedener fleischhaltiger Gerichte</t>
  </si>
  <si>
    <t>kg CO2-Äquiv./ Portion</t>
  </si>
  <si>
    <t>Emission pro Portion bzw. Teller</t>
  </si>
  <si>
    <t>E21</t>
  </si>
  <si>
    <t>Tellergericht vegan</t>
  </si>
  <si>
    <t>E20</t>
  </si>
  <si>
    <t>Tellergericht Fleisch</t>
  </si>
  <si>
    <t>Eigenberechnung (siehe Tabelle "Berechnung Gerichte"): Mittelwert verschiedener vegetarischer und veganer Gerichte</t>
  </si>
  <si>
    <t>E19</t>
  </si>
  <si>
    <t>Tellergericht vegetarisch</t>
  </si>
  <si>
    <t>Ernährung-Mensa</t>
  </si>
  <si>
    <t>Defra 2021 (Papier recycled closed loop)</t>
  </si>
  <si>
    <t>Annahmen: Handtuchgröße 20x20cm, spez. Papiergewicht 50g/m2</t>
  </si>
  <si>
    <t>kg CO2-Äquiv./ Blatt</t>
  </si>
  <si>
    <t>Emission pro Blatt</t>
  </si>
  <si>
    <t>E18</t>
  </si>
  <si>
    <t>Einmal-Papierhandtücher, Recycling</t>
  </si>
  <si>
    <t>E17</t>
  </si>
  <si>
    <t>Einmal-Papierhandtücher, Frischfaser</t>
  </si>
  <si>
    <t>Eine Jumborolle entspricht ca. 9 Normalrollen (https://www.falthandtuch5000.de/toilettenpapier-online-grosshandel/92-maxi-jumbo-toilettenpapier-zellstoff-2-lagig-250m-rolle-papernet-402298-6-rollen-ve-8013924422980.html; https://www.falthandtuch5000.de/toilettenpapier-online-grosshandel/2-toilettenpapier-zellstoff-3-lagig-250-blatt-isabella-72-rollen-ve.html)</t>
  </si>
  <si>
    <t>kg CO2-Äquiv./ Rolle</t>
  </si>
  <si>
    <t>Emission pro Jumborolle</t>
  </si>
  <si>
    <t>E16</t>
  </si>
  <si>
    <t>Toilettenpapier Recyclingpapier, Jumbo</t>
  </si>
  <si>
    <t>Annahme: eine Normalrolle entspricht einem Gewicht von 175g</t>
  </si>
  <si>
    <t>Emission pro Normalrolle</t>
  </si>
  <si>
    <t>E15</t>
  </si>
  <si>
    <t>Toilettenpapier Recyclingpapier, Normalrolle</t>
  </si>
  <si>
    <t>Defra 2021 (Papier Primärproduktion)</t>
  </si>
  <si>
    <t>E14</t>
  </si>
  <si>
    <t>Toilettenpapier Frischfaser, Jumborolle</t>
  </si>
  <si>
    <t>E13</t>
  </si>
  <si>
    <t>Toilettenpapier Frischfaser, Normalrolle</t>
  </si>
  <si>
    <t>Annahme Papierqualität 80g/m2; 1 Packung a 500 Blatt wiegt 0,0024948 t</t>
  </si>
  <si>
    <t>E12</t>
  </si>
  <si>
    <t>Kopierpapier A4, Recycling, 80g/m²</t>
  </si>
  <si>
    <t>E11</t>
  </si>
  <si>
    <t>Kopierpapier A4, Frischfaser, 80g/m²</t>
  </si>
  <si>
    <t>https://www.oeko.de/fileadmin/oekodoc/Digitaler-CO2-Fussabdruck.pdf</t>
  </si>
  <si>
    <t>Öko-Institut Freiburg</t>
  </si>
  <si>
    <t>Für die Datenübertragung wird der Faktor vom deutschen Strommix angenommen</t>
  </si>
  <si>
    <t>kg CO2-Äquiv./ GB Datenvolumen</t>
  </si>
  <si>
    <t>Emissionen pro GB Datenvolumen</t>
  </si>
  <si>
    <t>E10</t>
  </si>
  <si>
    <t>Internetnutzung mobile Daten</t>
  </si>
  <si>
    <t>E9</t>
  </si>
  <si>
    <t>Internetnutzung kabelgebunden</t>
  </si>
  <si>
    <t>Digitalisierung (optional)</t>
  </si>
  <si>
    <t>kg CO2-Äquiv./ PC inkl. Bildschirm</t>
  </si>
  <si>
    <t>Herstellungsemissionen pro Gerät</t>
  </si>
  <si>
    <t>E8</t>
  </si>
  <si>
    <t>Desktop-PC Bildschirm</t>
  </si>
  <si>
    <t>E7</t>
  </si>
  <si>
    <t>Desktop-PC Rechner</t>
  </si>
  <si>
    <t>kg CO2-Äquiv./ Tablet</t>
  </si>
  <si>
    <t>E6</t>
  </si>
  <si>
    <t>Tablet</t>
  </si>
  <si>
    <t>starke Unterschiede zwischen den Geräten. Der angebene Wert ist die obere Grenze der Spanne. Unterschiede je nach Größe, Hersteller und Ausstattung. Gilt auch für Tablets und PCs.</t>
  </si>
  <si>
    <t>kg CO2-Äquiv./ Laptop</t>
  </si>
  <si>
    <t>E5</t>
  </si>
  <si>
    <t>Laptop</t>
  </si>
  <si>
    <t>Digitalisierung</t>
  </si>
  <si>
    <t>DEFRA Conversion Factors 2021 - Tabelle "Waste disposal" Zelle G90</t>
  </si>
  <si>
    <t>https://www.statistik-bw.de/DatenMelden/Formularservice/33_A_Umrechnungsfaktoren.pdf</t>
  </si>
  <si>
    <t>Umrechnung: 1 Kubikmeter Altpapier im Sammelcontainer wiegt 0,2 Tonnen</t>
  </si>
  <si>
    <t>Umrechnung: 1 Tonne Restmüll entspricht einem Volumen von 10m³</t>
  </si>
  <si>
    <t>DEFRA Conversion Factors 2021 - Tabelle "Waste disposal" Zelle H49 (Faktor bezieht sich auf Hausmüll, welcher in Müllverbrennungsanlage genutzt wird)</t>
  </si>
  <si>
    <t>Umrechnung: 1 m³ Restmüll entspricht einem Gewicht von 0,1 Tonnen</t>
  </si>
  <si>
    <t>Link</t>
  </si>
  <si>
    <t>Quelle</t>
  </si>
  <si>
    <t>Kommentar</t>
  </si>
  <si>
    <t>Datum Faktor</t>
  </si>
  <si>
    <t>Faktor</t>
  </si>
  <si>
    <t>Hinweis</t>
  </si>
  <si>
    <t>Emissionsfaktor</t>
  </si>
  <si>
    <r>
      <t>Notwendige Emissions- und Umrechnungsfaktoren des CO</t>
    </r>
    <r>
      <rPr>
        <vertAlign val="subscript"/>
        <sz val="16"/>
        <color theme="1"/>
        <rFont val="Calibri"/>
        <family val="2"/>
        <scheme val="minor"/>
      </rPr>
      <t>2</t>
    </r>
    <r>
      <rPr>
        <sz val="16"/>
        <color theme="1"/>
        <rFont val="Calibri"/>
        <family val="2"/>
        <scheme val="minor"/>
      </rPr>
      <t xml:space="preserve">-Rechners der Klimaschule Bayern </t>
    </r>
  </si>
  <si>
    <t>Pausenverkauf: Wurstverkauf (Wiener, Bockwurst) reduzieren</t>
  </si>
  <si>
    <t>Kaffeekonsum reduzieren (in kg)</t>
  </si>
  <si>
    <t>Kaffeekonsum reduzieren (in Liter)</t>
  </si>
  <si>
    <t>Milch durch veganes Milchgetränk ersetzen</t>
  </si>
  <si>
    <t>Auto: Fahrgemeinschaften bilden</t>
  </si>
  <si>
    <t>Auto: Fahrten mit dem Auto reduzieren</t>
  </si>
  <si>
    <t>Auto (Verbrennungsmotor) durch e-Auto ersetzen</t>
  </si>
  <si>
    <r>
      <t>GeplanteCO</t>
    </r>
    <r>
      <rPr>
        <vertAlign val="subscript"/>
        <sz val="10"/>
        <color theme="0"/>
        <rFont val="Calibri"/>
        <family val="2"/>
        <scheme val="minor"/>
      </rPr>
      <t>2</t>
    </r>
    <r>
      <rPr>
        <sz val="10"/>
        <color theme="0"/>
        <rFont val="Calibri"/>
        <family val="2"/>
        <scheme val="minor"/>
      </rPr>
      <t>-Reduktion</t>
    </r>
  </si>
  <si>
    <t>Strom sparen (Ökostrom mit Neuanlagenförderung)</t>
  </si>
  <si>
    <t>Strom sparen (Tarifart: Dt. Strommix oder Ökostrom ohne Neuanlagenförderung)</t>
  </si>
  <si>
    <t>Papierhandtücher: Frischfaser durch Recyclingpapier ersetzen</t>
  </si>
  <si>
    <t>Restmüll reduzieren (Einheit t)</t>
  </si>
  <si>
    <t>Toilettenpapier: Verbrauch reduzieren (Jumborolle, Frischfaser)</t>
  </si>
  <si>
    <t>Toilettenpapier: Verbrauch reduzieren (Jumborolle, Recycling)</t>
  </si>
  <si>
    <t>Toilettenpapier: Verbrauch reduzieren (Normalrolle, Frischfaser)</t>
  </si>
  <si>
    <t>Toilettenpapier: Verbrauch reduzieren (Normalrolle, Recycling)</t>
  </si>
  <si>
    <t>Toilettenpapier: Frischfaser- durch Recyclingpapier ersetzen (Normalrolle)</t>
  </si>
  <si>
    <t>Toilettenpapier: Frischfaser- durch Recyclingpapier ersetzen (Jumborolle)</t>
  </si>
  <si>
    <t>Mensa: Fleischgerichte durch vegetarische Gerichte ersetzen</t>
  </si>
  <si>
    <t>Mensa: Fleischgerichte durch vegane Gerichte ersetzen</t>
  </si>
  <si>
    <t>Mensa: Vegetarische Gerichte durch vegane Gerichte ersetzen</t>
  </si>
  <si>
    <t>Pausenverkauf: Wurstbrötchen durch vegetarisch belegte Brötchen ersetzen</t>
  </si>
  <si>
    <t>Getränkeautomat durch Trinkwasserspender ersetzen</t>
  </si>
  <si>
    <t>Ernährung- Pausenverkauf</t>
  </si>
  <si>
    <t>Ernährung Getränke</t>
  </si>
  <si>
    <t>Pausenverkauf: Wurstbrötchen durch vegan belegte Brötchen ersetzen</t>
  </si>
  <si>
    <t>Milchverbrauch reduzieren</t>
  </si>
  <si>
    <t>Aktueller Papierverbrauch pro Jahr</t>
  </si>
  <si>
    <t>Aktueller Müllverbrauch pro Jahr</t>
  </si>
  <si>
    <t>Flugzeug: Flugreisen reduzieren</t>
  </si>
  <si>
    <t>Reisebus: Fahrten mit den Reisebus vermeiden</t>
  </si>
  <si>
    <t>Schülerfahrten: Flugreise durch Busreise ersetzen (bei gleicher Streckenlänge)</t>
  </si>
  <si>
    <t>Schülerfahrten: Flugreise durch Bahnreise ersetzen (bei gleicher Streckenlänge)</t>
  </si>
  <si>
    <t>eAuto: Fahrgemeinschaften bilden</t>
  </si>
  <si>
    <t>Pausenverkauf: Vegetarisch belegte Brötchen durch vegan belegte Brötchen ersetzen</t>
  </si>
  <si>
    <t>Aktueller Verbrauch pro Jahr</t>
  </si>
  <si>
    <t>Wechsel des Stromtarifs: Ökostrom ohne Neuanlagenförderung zu Ökostrom mit Neuanlagenförderung</t>
  </si>
  <si>
    <t>PV-Anlage: Selbst produzierten Strom verwenden (Eigenstromverbrauch erhöhen; Stromtarif der Schule ist dt. Strommix oder Ökostrom ohne Neuanlagenförderung)</t>
  </si>
  <si>
    <t>PV-Anlage: Selbst produzierten Strom verwenden (Eigenstromverbrauch erhöhen; Stromtarif der Schule ist Ökostrom mit Neuanlagenförderung)</t>
  </si>
  <si>
    <t>Heizungstausch: Biogas zu Biomasse (Hackschnitzel)</t>
  </si>
  <si>
    <t>Heizungstausch: Biogas zu Biomasse (Pellets)</t>
  </si>
  <si>
    <t>Heizungstausch: Biogas zu Fernwärme (Hackschnitzel)</t>
  </si>
  <si>
    <t>Heizungstausch: Biogas zu Fernwärme (industrielle Prozessabwärme)</t>
  </si>
  <si>
    <t>Heizungstausch: Erdgas zu Biogas</t>
  </si>
  <si>
    <t>Heizungstausch: Erdgas zu Biomasse (Hackschnitzel)</t>
  </si>
  <si>
    <t>Heizungstausch: Erdgas zu Biomasse (Pellets)</t>
  </si>
  <si>
    <t>Heizungstausch: Erdgas zu Fernwärme (Biogas)</t>
  </si>
  <si>
    <t>Heizungstausch: Erdgas zu Fernwärme (Hackschnitzel)</t>
  </si>
  <si>
    <t>Heizungstausch: Erdgas zu Fernwärme (Müll HKW)</t>
  </si>
  <si>
    <t>Heizungstausch: Erdgas zu Fernwärme (industrielle Prozessabwärme)</t>
  </si>
  <si>
    <t>Richtig lüften im ganzen Gebäude</t>
  </si>
  <si>
    <t>Heizungstausch: Fernwärme (Kohle) zu Biogas</t>
  </si>
  <si>
    <t>Heizungstausch: Fernwärme (Kohle) zu Biomasse (Hackschnitzel)</t>
  </si>
  <si>
    <t>Heizungstausch: Fernwärme (Kohle) zu Biomasse (Pellets)</t>
  </si>
  <si>
    <t>Heizungstausch: Fernwärme (Kohle) zu Fernwärme (Biogas)</t>
  </si>
  <si>
    <t>Heizungstausch: Fernwärme (Kohle) zu Fernwärme (Müll HKW)</t>
  </si>
  <si>
    <t>Heizungstausch: Fernwärme (Kohle) zu Fernwärme (Hackschnitzel)</t>
  </si>
  <si>
    <t>Heizungstausch: Fernwärme (Biogas) zu Biogas</t>
  </si>
  <si>
    <t>Heizungstausch: Fernwärme (Biogas) zu Biomasse (Hackschnitzel)</t>
  </si>
  <si>
    <t>Heizungstausch: Fernwärme (Biogas) zu Biomasse (Pellets)</t>
  </si>
  <si>
    <t>Heizungstausch: Fernwärme (Biogas) zu Fernwärme (Hackschnitzel)</t>
  </si>
  <si>
    <t>Heizungstausch: Fernwärme (Müll HKW) zu Biogas</t>
  </si>
  <si>
    <t>Heizungstausch: Fernwärme (Müll HKW) zu Biomasse (Hackschnitzel)</t>
  </si>
  <si>
    <t>Heizungstausch: Fernwärme (Müll HKW) zu Biomasse (Pellets)</t>
  </si>
  <si>
    <t>Heizungstausch: Fernwärme (Müll HKW) zu Fernwärme (Biogas)</t>
  </si>
  <si>
    <t>Heizungstausch: Fernwärme (Müll HKW) zu Fernwärme (Hackschnitzel)</t>
  </si>
  <si>
    <t>Heizungstausch: Heizöl zu Biogas</t>
  </si>
  <si>
    <t>Heizungstausch: Heizöl zu Biomasse (Hackschnitzel)</t>
  </si>
  <si>
    <t>Heizungstausch: Heizöl zu Biomasse (Pellets)</t>
  </si>
  <si>
    <t>Heizungstausch: Heizöl zu Fernwärme (Biogas)</t>
  </si>
  <si>
    <t>Heizungstausch: Heizöl zu Fernwärme (Müll HKW)</t>
  </si>
  <si>
    <t>Heizungstausch: Heizöl zu Fernwärme (Hackschnitzel)</t>
  </si>
  <si>
    <t>Heizungstausch: Flüssiggas zu Biogas</t>
  </si>
  <si>
    <t>Heizungstausch: Flüssiggas zu Biomasse (Hackschnitzel)</t>
  </si>
  <si>
    <t>Heizungstausch: Flüssiggas zu Biomasse (Pellets)</t>
  </si>
  <si>
    <t>Heizungstausch: Flüssiggas zu Fernwärme (Biogas)</t>
  </si>
  <si>
    <t>Heizungstausch: Flüssiggas zu Fernwärme (Müll HKW)</t>
  </si>
  <si>
    <t>Heizungstausch: Flüssiggas zu Fernwärme (Hackschnitzel)</t>
  </si>
  <si>
    <t>Solarthermie zur Heizungsunterstützung</t>
  </si>
  <si>
    <t>Wärmebedarf reduzieren (z. B. durch verbesserte Gebäudedämmung)</t>
  </si>
  <si>
    <t>Raumtemperatur im ganzen Gebäude senken</t>
  </si>
  <si>
    <t>Heizungstausch: Fernwärme (Erdgas) zu Biogas</t>
  </si>
  <si>
    <t>Heizungstausch: Fernwärme (Erdgas) zu Biomasse (Hackschnitzel)</t>
  </si>
  <si>
    <t>Heizungstausch: Fernwärme (Erdgas) zu Biomasse (Pellets)</t>
  </si>
  <si>
    <t>Heizungstausch: Fernwärme (Erdgas) zu Fernwärme (Biogas)</t>
  </si>
  <si>
    <t>Heizungstausch: Fernwärme (Erdgas) zu Fernwärme (Müll HKW)</t>
  </si>
  <si>
    <t>Heizungstausch: Fernwärme (Erdgas) zu Fernwärme (Hackschnitzel)</t>
  </si>
  <si>
    <t>Heizungstausch: Fernwärme (Müll HKW) zu Fernwärme (Industrielle Prozessabwärme)</t>
  </si>
  <si>
    <t>Heizungstausch: Fernwärme (Biogas) zu Fernwärme (Industrielle Prozessabwärme)</t>
  </si>
  <si>
    <t>Heizungstausch: Fernwärme (Erdgas) zu Fernwärme (Industrielle Prozessabwärme)</t>
  </si>
  <si>
    <t>Heizungstausch: Fernwärme (Kohle) zu Fernwärme (Industrielle Prozessabwärme)</t>
  </si>
  <si>
    <t>Raumtemperatur im ganzen Gebäude senken (abhängig von der Heizungsart)</t>
  </si>
  <si>
    <t>Solarthermie zur Heizungsunterstützung (Abhängig von der Heizungsart)</t>
  </si>
  <si>
    <t>Heizungsarten</t>
  </si>
  <si>
    <t>Aktuelle Heizung an 
Ihrer Schule</t>
  </si>
  <si>
    <t>Maßnahmen zur Senkung des Wärmebedarfs</t>
  </si>
  <si>
    <t>Annahme: Jahresarbeitszahl ist 3</t>
  </si>
  <si>
    <t>Fernwärme (Müll HKW)</t>
  </si>
  <si>
    <t>Jahresarbeitszahl Wärmepumpe (Luft/Wasser)</t>
  </si>
  <si>
    <t>Jahresarbeitszahl Wärmepumpe (Sole/Wasser)</t>
  </si>
  <si>
    <t>Heizungstausch: Fernwärme (Kohle) zu Wärmepumpe (Luft/Wasser)</t>
  </si>
  <si>
    <t>Heizungstausch: Erdgas zu Wärmepumpe (Luft/Wasser)</t>
  </si>
  <si>
    <t>Heizungstausch: Fernwärme (Erdgas) zu Wärmepumpe (Luft/Wasser)</t>
  </si>
  <si>
    <t>Heizungstausch: Fernwärme (Biogas) zu Wärmepumpe (Luft/Wasser)</t>
  </si>
  <si>
    <t>Heizungstausch: Fernwärme (Müll HKW) zu Wärmepumpe (Luft/Wasser)</t>
  </si>
  <si>
    <t>Heizungstausch: Erdgas zu Wärmepumpe (Sole/Wasser)</t>
  </si>
  <si>
    <t>Heizungstausch: Fernwärme (Kohle) zu Wärmepumpe (Sole/Wasser)</t>
  </si>
  <si>
    <t>Heizungstausch: Fernwärme (Erdgas) zu Wärmepumpe (Sole/Wasser)</t>
  </si>
  <si>
    <t>Heizungstausch: Fernwärme (Biogas) zu Wärmepumpe (Sole/Wasser)</t>
  </si>
  <si>
    <t>Heizungstausch: Fernwärme (Müll HKW) zu Wärmepumpe (Sole/Wasser)</t>
  </si>
  <si>
    <t>Heizungstausch: Flüssiggas zu Wärmepumpe (Sole/Wasser)</t>
  </si>
  <si>
    <t>Heizungstausch: Heizöl zu Wärmepumpe (Sole/Wasser)</t>
  </si>
  <si>
    <t>Einsparung in kg CO2e pro kWh Nutzenergie</t>
  </si>
  <si>
    <t>Einsparungsrechner</t>
  </si>
  <si>
    <t>https://www.test.de/Serie-Energie-sparen-Teil-4-Heizkosten-Reduzieren-ohne-frieren-1734645-0/</t>
  </si>
  <si>
    <t>https://www.co2online.de/energie-sparen/heizenergie-sparen/heizkosten-sparen/heizkosten-sparen-uebersicht/</t>
  </si>
  <si>
    <t>https://mediapool.hm.edu/mediapool/media/dachmarke/dm_lokal/nachhaltigkeit/dokumente_142/221003_Merkblatt_Energiesparung_Kurzfassung_END.pdf</t>
  </si>
  <si>
    <t>https://www.umweltbundesamt.de/umwelttipps-fuer-den-alltag/heizen-bauen/heizen-raumtemperatur#gewusst-wie</t>
  </si>
  <si>
    <t xml:space="preserve">Nutzenergie in kWh </t>
  </si>
  <si>
    <t>Umrechnung in Nutzenergie (kWh)</t>
  </si>
  <si>
    <t>Hackschnitzel (Verbrauch in Srm)</t>
  </si>
  <si>
    <t>Hackschnitzel (Verbrauch in Tonnen)</t>
  </si>
  <si>
    <t>Pellets (Verbrauch in Tonnen)</t>
  </si>
  <si>
    <t>Pellets (Verbrauch in m³)</t>
  </si>
  <si>
    <t>Erdgas (Verbrauch in m³)</t>
  </si>
  <si>
    <t>Flüssiggas (Verbrauch in m³)</t>
  </si>
  <si>
    <t>Heizöl (Verbrauch in Liter)</t>
  </si>
  <si>
    <t>Hackschnitzel (Verbrauch in Schüttraummeter (Srm))</t>
  </si>
  <si>
    <t>Energieträger</t>
  </si>
  <si>
    <t>Umrechnungsrechner in kWh</t>
  </si>
  <si>
    <r>
      <t>Wenn Sie den Wärmebedarf Ihrer Schule nicht der Einheit "kWh" kennen, können Sie mit folgender Tabelle den Verbrauch in die Einheit kWh (Nutzenergie) umrechnen lassen und oben im CO</t>
    </r>
    <r>
      <rPr>
        <vertAlign val="subscript"/>
        <sz val="11"/>
        <color theme="1"/>
        <rFont val="Calibri"/>
        <family val="2"/>
        <scheme val="minor"/>
      </rPr>
      <t>2</t>
    </r>
    <r>
      <rPr>
        <sz val="11"/>
        <color theme="1"/>
        <rFont val="Calibri"/>
        <family val="2"/>
        <scheme val="minor"/>
      </rPr>
      <t xml:space="preserve">-Einsparungsrechner verwenden. </t>
    </r>
  </si>
  <si>
    <t>Wärmebedarf im letzten Jahr
 in kWh (Nutzenergie, z. B. laut Wärmemengenzähler)</t>
  </si>
  <si>
    <t>70 % des Energieverbrauchs in Privathaushalten wird für Raumheizung, 15 % für die Warmwasseraufbereitung, 15 % für Strom benötigt</t>
  </si>
  <si>
    <t>https://www.rwth-aachen.de/cms/root/die-rwth/nachhaltigkeit/nachhaltigkeit-im-betrieb/energie/~wxqew/energiespartipps/</t>
  </si>
  <si>
    <t>Was bringt Lüften: bis zu 30 % Einsparung der Heizenergie</t>
  </si>
  <si>
    <t>Emission pro kWh Strom</t>
  </si>
  <si>
    <t>UBA 2023, https://www.umweltbundesamt.de/sites/default/files/medien/11850/publikationen/20231219_49_2023_cc_emissionsbilanz_erneuerbarer_energien_2022_bf.pdf</t>
  </si>
  <si>
    <t>Energieträgerverbrauch (Endenergie)</t>
  </si>
  <si>
    <t>bei den beiden Emissionsfaktoren der Wärmepumpe wurde die Vorkette laut UBA berückrückstigt:
 Für Luft/Wasser werden für die Vorkette 13,777 g/kWh (Nutzenergie) angesetzt und für Sole/Wasser 31,353 g/kWh (Nutzenergie</t>
  </si>
  <si>
    <t>Wärmepumpe (Luft/Wasser)</t>
  </si>
  <si>
    <t>Wärmepumpe (Sole/Wasser)</t>
  </si>
  <si>
    <t>Raumtemperatur um 1°C reduzieren spart 6 % Heizkosten (Endenergie)</t>
  </si>
  <si>
    <t>Absenkung um 2°C</t>
  </si>
  <si>
    <t>Elektrischer Energiebedarf im letzten Jahr in kWh (Netzbezug)</t>
  </si>
  <si>
    <t>Wechsel des Stromtarifs: Dt. Strommix zu Ökostrom ohne Neuanlagenförderung</t>
  </si>
  <si>
    <t>Wechsel des Stromtarifs: Dt. Strommix zu Ökostrom mit Neuanlagenförderung</t>
  </si>
  <si>
    <r>
      <t>Maßnahmen, die zur Berechnung von CO</t>
    </r>
    <r>
      <rPr>
        <vertAlign val="subscript"/>
        <sz val="10"/>
        <color theme="0"/>
        <rFont val="Calibri"/>
        <family val="2"/>
        <scheme val="minor"/>
      </rPr>
      <t>2</t>
    </r>
    <r>
      <rPr>
        <sz val="10"/>
        <color theme="0"/>
        <rFont val="Calibri"/>
        <family val="2"/>
        <scheme val="minor"/>
      </rPr>
      <t>-Reduktionen geeignet sind</t>
    </r>
  </si>
  <si>
    <r>
      <t>Anzahl der Personenkilometer im letzten Jahr (Vgl. z. B. CO</t>
    </r>
    <r>
      <rPr>
        <vertAlign val="subscript"/>
        <sz val="10"/>
        <color theme="0"/>
        <rFont val="Calibri"/>
        <family val="2"/>
        <scheme val="minor"/>
      </rPr>
      <t>2</t>
    </r>
    <r>
      <rPr>
        <sz val="10"/>
        <color theme="0"/>
        <rFont val="Calibri"/>
        <family val="2"/>
        <scheme val="minor"/>
      </rPr>
      <t>-Rechner für Schulen)</t>
    </r>
  </si>
  <si>
    <t>Wirkungsgrad für Biogas wird als 100 % angenommen</t>
  </si>
  <si>
    <t>Bei dt. Strommix</t>
  </si>
  <si>
    <t>auch bei Flüssiggas würde ich den Wirkungsgrad berücksichtigen (92%)</t>
  </si>
  <si>
    <t>analog</t>
  </si>
  <si>
    <t>Heizungstausch: Heizöl zu Wärmepumpe (Luft/Wasser)</t>
  </si>
  <si>
    <t>Heizungstausch: Heizöl zu Fernwärme (Industrielle Prozessabwärme)</t>
  </si>
  <si>
    <t>Heizungstausch: Flüssiggas zu Fernwärme (Industrielle Prozessabwärme)</t>
  </si>
  <si>
    <t>Heizungstausch: Flüssiggas zu Wärmepumpe (Luft/Wasser)</t>
  </si>
  <si>
    <t>Wärmepumpe (Luft/Wasser, Stromverbauch in kWh)</t>
  </si>
  <si>
    <t>Wärmepumpe (Sole/Wasser, Stromverbrauch in kWh)</t>
  </si>
  <si>
    <r>
      <rPr>
        <b/>
        <sz val="12"/>
        <color theme="1"/>
        <rFont val="Calibri"/>
        <family val="2"/>
        <scheme val="minor"/>
      </rPr>
      <t>Tragen Sie links unter "kurzfristig" das Folgejahr</t>
    </r>
    <r>
      <rPr>
        <sz val="12"/>
        <color theme="1"/>
        <rFont val="Calibri"/>
        <family val="2"/>
        <scheme val="minor"/>
      </rPr>
      <t xml:space="preserve"> ein, in dem der Klimaschutzplan von den Schulgremien verabschiedet und veröffenlicht wurde. 
</t>
    </r>
    <r>
      <rPr>
        <b/>
        <sz val="12"/>
        <color theme="1"/>
        <rFont val="Calibri"/>
        <family val="2"/>
        <scheme val="minor"/>
      </rPr>
      <t>Beispiel:</t>
    </r>
    <r>
      <rPr>
        <sz val="12"/>
        <color theme="1"/>
        <rFont val="Calibri"/>
        <family val="2"/>
        <scheme val="minor"/>
      </rPr>
      <t xml:space="preserve"> Wenn Sie den Klimaschutzplan 2024 verabschiedet haben, tragen Sie bitte unter kurzfristig das Jahr 2025 ein.</t>
    </r>
  </si>
  <si>
    <t>Geplante Einsparung bzw.
geplante Umstellung in %</t>
  </si>
  <si>
    <t>Geplante Einsparung bzw. 
geplante Umstellung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</si>
</sst>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64" formatCode="0\ &quot;t CO2e&quot;"/>
    <numFmt numFmtId="165" formatCode="0\ &quot;kg CO2e&quot;"/>
    <numFmt numFmtId="166" formatCode="0\ &quot;kg&quot;"/>
    <numFmt numFmtId="167" formatCode="0.0%"/>
    <numFmt numFmtId="168" formatCode="#,##0\ &quot;kg&quot;"/>
    <numFmt numFmtId="169" formatCode="#\ ###\ ###\ &quot;kg CO2e&quot;"/>
    <numFmt numFmtId="170" formatCode="#\ ###\ ##0\ &quot;kg&quot;"/>
    <numFmt numFmtId="171" formatCode="0.0000"/>
    <numFmt numFmtId="172" formatCode="0.000"/>
    <numFmt numFmtId="173" formatCode="#.000\ ###\ ###\ &quot;kg CO2e&quot;"/>
    <numFmt numFmtId="174" formatCode="#.0000\ ###\ ###\ &quot;kg CO2e&quot;"/>
    <numFmt numFmtId="175" formatCode="0.000000"/>
    <numFmt numFmtId="176" formatCode="#,##0.0"/>
    <numFmt numFmtId="177" formatCode="0.0"/>
    <numFmt numFmtId="178" formatCode="0.00000"/>
    <numFmt numFmtId="179" formatCode="0.00\ ###\ ###\ &quot;kg CO2e&quot;"/>
    <numFmt numFmtId="180" formatCode="0.0\ ###\ ###\ &quot;kg CO2e&quot;"/>
    <numFmt numFmtId="181" formatCode="0\ &quot;Blätter&quot;"/>
    <numFmt numFmtId="182" formatCode="0.00\ &quot;kg CO2e&quot;"/>
    <numFmt numFmtId="183" formatCode="0.\ ###\ ###\ &quot;kg CO2e&quot;"/>
    <numFmt numFmtId="184" formatCode="0\ &quot;Portionen&quot;"/>
    <numFmt numFmtId="185" formatCode="0.0\ &quot;kg CO2e&quot;"/>
    <numFmt numFmtId="186" formatCode="#\ ###\ ###\ &quot;Blätter&quot;"/>
    <numFmt numFmtId="187" formatCode="0.000\ &quot;kg CO2e&quot;"/>
    <numFmt numFmtId="188" formatCode="0.0000\ &quot;kg CO2e&quot;"/>
    <numFmt numFmtId="189" formatCode="0\ &quot;kWh&quot;"/>
    <numFmt numFmtId="190" formatCode="###\ ###\ ###\ &quot;kWh&quot;"/>
    <numFmt numFmtId="191" formatCode="###\ ###\ ###\ &quot;Pkm&quot;"/>
    <numFmt numFmtId="192" formatCode="#\ ###\ ##0\ &quot;kg CO2e&quot;"/>
    <numFmt numFmtId="193" formatCode="0.0\ &quot;m³&quot;"/>
    <numFmt numFmtId="194" formatCode="0.0\ &quot;t&quot;"/>
    <numFmt numFmtId="195" formatCode="0.0\ &quot;Srm&quot;"/>
    <numFmt numFmtId="196" formatCode="0.0\ &quot;Liter&quot;"/>
    <numFmt numFmtId="197" formatCode="0.000000\ &quot;kg CO2e pro kWh Nutzenergie&quot;"/>
    <numFmt numFmtId="198" formatCode="0\ &quot;kWh Strom&quot;"/>
    <numFmt numFmtId="199" formatCode="0\ &quot;kWh Wärme&quot;"/>
  </numFmts>
  <fonts count="41" x14ac:knownFonts="1">
    <font>
      <sz val="11"/>
      <color theme="1"/>
      <name val="Calibri"/>
      <family val="2"/>
      <scheme val="minor"/>
    </font>
    <font>
      <sz val="14"/>
      <color theme="1"/>
      <name val="Calibri"/>
      <family val="2"/>
      <scheme val="minor"/>
    </font>
    <font>
      <sz val="8"/>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sz val="12"/>
      <color theme="1"/>
      <name val="Calibri"/>
      <family val="2"/>
      <scheme val="minor"/>
    </font>
    <font>
      <sz val="11"/>
      <color rgb="FF000000"/>
      <name val="Calibri"/>
      <family val="2"/>
      <scheme val="minor"/>
    </font>
    <font>
      <sz val="12"/>
      <color rgb="FF000000"/>
      <name val="Calibri"/>
      <family val="2"/>
      <scheme val="minor"/>
    </font>
    <font>
      <b/>
      <sz val="12"/>
      <name val="Calibri"/>
      <family val="2"/>
      <scheme val="minor"/>
    </font>
    <font>
      <sz val="12"/>
      <name val="Calibri"/>
      <family val="2"/>
      <scheme val="minor"/>
    </font>
    <font>
      <b/>
      <sz val="14"/>
      <color rgb="FF000000"/>
      <name val="Calibri"/>
      <family val="2"/>
      <scheme val="minor"/>
    </font>
    <font>
      <b/>
      <sz val="16"/>
      <color theme="1"/>
      <name val="Calibri"/>
      <family val="2"/>
      <scheme val="minor"/>
    </font>
    <font>
      <b/>
      <sz val="16"/>
      <name val="Calibri"/>
      <family val="2"/>
      <scheme val="minor"/>
    </font>
    <font>
      <b/>
      <vertAlign val="subscript"/>
      <sz val="16"/>
      <name val="Calibri"/>
      <family val="2"/>
      <scheme val="minor"/>
    </font>
    <font>
      <sz val="14"/>
      <name val="Calibri"/>
      <family val="2"/>
      <scheme val="minor"/>
    </font>
    <font>
      <b/>
      <vertAlign val="subscript"/>
      <sz val="16"/>
      <color theme="1"/>
      <name val="Calibri"/>
      <family val="2"/>
      <scheme val="minor"/>
    </font>
    <font>
      <sz val="10"/>
      <color theme="0"/>
      <name val="Calibri"/>
      <family val="2"/>
      <scheme val="minor"/>
    </font>
    <font>
      <vertAlign val="subscript"/>
      <sz val="10"/>
      <color theme="0"/>
      <name val="Calibri"/>
      <family val="2"/>
      <scheme val="minor"/>
    </font>
    <font>
      <b/>
      <sz val="10"/>
      <color theme="1"/>
      <name val="Calibri"/>
      <family val="2"/>
      <scheme val="minor"/>
    </font>
    <font>
      <sz val="10"/>
      <color theme="1"/>
      <name val="Calibri"/>
      <family val="2"/>
      <scheme val="minor"/>
    </font>
    <font>
      <sz val="12"/>
      <color rgb="FFFF0000"/>
      <name val="Calibri"/>
      <family val="2"/>
      <scheme val="minor"/>
    </font>
    <font>
      <vertAlign val="subscript"/>
      <sz val="12"/>
      <color rgb="FF000000"/>
      <name val="Calibri"/>
      <family val="2"/>
      <scheme val="minor"/>
    </font>
    <font>
      <b/>
      <sz val="11"/>
      <color rgb="FF000000"/>
      <name val="Calibri"/>
      <family val="2"/>
      <scheme val="minor"/>
    </font>
    <font>
      <b/>
      <sz val="12"/>
      <color theme="1"/>
      <name val="Calibri"/>
      <family val="2"/>
      <scheme val="minor"/>
    </font>
    <font>
      <u/>
      <sz val="11"/>
      <color theme="10"/>
      <name val="Calibri"/>
      <family val="2"/>
      <scheme val="minor"/>
    </font>
    <font>
      <b/>
      <sz val="11"/>
      <color theme="1"/>
      <name val="Calibri"/>
      <family val="2"/>
      <scheme val="minor"/>
    </font>
    <font>
      <sz val="11"/>
      <color theme="0"/>
      <name val="Calibri"/>
      <family val="2"/>
      <scheme val="minor"/>
    </font>
    <font>
      <i/>
      <sz val="11"/>
      <color theme="0" tint="-0.499984740745262"/>
      <name val="Calibri"/>
      <family val="2"/>
      <scheme val="minor"/>
    </font>
    <font>
      <i/>
      <sz val="11"/>
      <color theme="1"/>
      <name val="Calibri"/>
      <family val="2"/>
      <scheme val="minor"/>
    </font>
    <font>
      <sz val="10"/>
      <color rgb="FF03428C"/>
      <name val="Roboto"/>
    </font>
    <font>
      <sz val="11"/>
      <name val="Calibri"/>
      <family val="2"/>
      <scheme val="minor"/>
    </font>
    <font>
      <sz val="11"/>
      <color theme="1"/>
      <name val="Calibri"/>
      <family val="2"/>
    </font>
    <font>
      <i/>
      <u/>
      <sz val="11"/>
      <color theme="0" tint="-0.499984740745262"/>
      <name val="Calibri"/>
      <family val="2"/>
      <scheme val="minor"/>
    </font>
    <font>
      <sz val="16"/>
      <color theme="1"/>
      <name val="Calibri"/>
      <family val="2"/>
      <scheme val="minor"/>
    </font>
    <font>
      <vertAlign val="subscript"/>
      <sz val="16"/>
      <color theme="1"/>
      <name val="Calibri"/>
      <family val="2"/>
      <scheme val="minor"/>
    </font>
    <font>
      <vertAlign val="subscript"/>
      <sz val="11"/>
      <color theme="1"/>
      <name val="Calibri"/>
      <family val="2"/>
      <scheme val="minor"/>
    </font>
    <font>
      <sz val="11"/>
      <color theme="1"/>
      <name val="Arial"/>
      <family val="2"/>
    </font>
    <font>
      <sz val="16"/>
      <color rgb="FF000000"/>
      <name val="Calibri"/>
      <family val="2"/>
      <scheme val="minor"/>
    </font>
    <font>
      <sz val="11"/>
      <color rgb="FFFF0000"/>
      <name val="Calibri"/>
      <family val="2"/>
      <scheme val="minor"/>
    </font>
    <font>
      <b/>
      <sz val="11"/>
      <name val="Calibri"/>
      <family val="2"/>
      <scheme val="minor"/>
    </font>
  </fonts>
  <fills count="32">
    <fill>
      <patternFill patternType="none"/>
    </fill>
    <fill>
      <patternFill patternType="gray125"/>
    </fill>
    <fill>
      <patternFill patternType="solid">
        <fgColor theme="0" tint="-0.249977111117893"/>
        <bgColor indexed="64"/>
      </patternFill>
    </fill>
    <fill>
      <patternFill patternType="solid">
        <fgColor rgb="FFA21C20"/>
        <bgColor theme="7"/>
      </patternFill>
    </fill>
    <fill>
      <patternFill patternType="solid">
        <fgColor rgb="FF92D050"/>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0000"/>
        <bgColor indexed="64"/>
      </patternFill>
    </fill>
    <fill>
      <patternFill patternType="solid">
        <fgColor rgb="FF174D9F"/>
        <bgColor theme="7"/>
      </patternFill>
    </fill>
    <fill>
      <patternFill patternType="solid">
        <fgColor rgb="FFEF6D27"/>
        <bgColor theme="7"/>
      </patternFill>
    </fill>
    <fill>
      <patternFill patternType="solid">
        <fgColor rgb="FF3A91CF"/>
        <bgColor theme="7"/>
      </patternFill>
    </fill>
    <fill>
      <patternFill patternType="solid">
        <fgColor rgb="FF1F324F"/>
        <bgColor theme="7"/>
      </patternFill>
    </fill>
    <fill>
      <patternFill patternType="solid">
        <fgColor rgb="FFF5C332"/>
        <bgColor theme="7"/>
      </patternFill>
    </fill>
    <fill>
      <patternFill patternType="solid">
        <fgColor rgb="FFEE2C24"/>
        <bgColor theme="7"/>
      </patternFill>
    </fill>
    <fill>
      <patternFill patternType="solid">
        <fgColor rgb="FFFFEB9C"/>
        <bgColor indexed="64"/>
      </patternFill>
    </fill>
    <fill>
      <patternFill patternType="solid">
        <fgColor rgb="FFBFBFBF"/>
        <bgColor indexed="64"/>
      </patternFill>
    </fill>
    <fill>
      <patternFill patternType="solid">
        <fgColor rgb="FFF2F2F2"/>
      </patternFill>
    </fill>
    <fill>
      <patternFill patternType="solid">
        <fgColor theme="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6CBC44"/>
        <bgColor theme="7"/>
      </patternFill>
    </fill>
    <fill>
      <patternFill patternType="solid">
        <fgColor theme="6" tint="0.39997558519241921"/>
        <bgColor indexed="64"/>
      </patternFill>
    </fill>
    <fill>
      <patternFill patternType="solid">
        <fgColor theme="9" tint="0.59999389629810485"/>
        <bgColor indexed="64"/>
      </patternFill>
    </fill>
    <fill>
      <patternFill patternType="solid">
        <fgColor rgb="FFAA2120"/>
        <bgColor indexed="64"/>
      </patternFill>
    </fill>
    <fill>
      <patternFill patternType="solid">
        <fgColor rgb="FF455293"/>
        <bgColor indexed="64"/>
      </patternFill>
    </fill>
    <fill>
      <patternFill patternType="solid">
        <fgColor rgb="FF79B33D"/>
        <bgColor indexed="64"/>
      </patternFill>
    </fill>
    <fill>
      <patternFill patternType="solid">
        <fgColor rgb="FF33334D"/>
        <bgColor indexed="64"/>
      </patternFill>
    </fill>
    <fill>
      <patternFill patternType="solid">
        <fgColor rgb="FFF7BE24"/>
        <bgColor indexed="64"/>
      </patternFill>
    </fill>
    <fill>
      <patternFill patternType="solid">
        <fgColor rgb="FFDF2C2A"/>
        <bgColor indexed="64"/>
      </patternFill>
    </fill>
    <fill>
      <patternFill patternType="solid">
        <fgColor theme="4" tint="0.79998168889431442"/>
        <bgColor theme="4" tint="0.79998168889431442"/>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right/>
      <top/>
      <bottom style="thin">
        <color theme="0"/>
      </bottom>
      <diagonal/>
    </border>
    <border>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theme="0"/>
      </top>
      <bottom style="thin">
        <color indexed="64"/>
      </bottom>
      <diagonal/>
    </border>
    <border>
      <left style="thin">
        <color theme="0"/>
      </left>
      <right/>
      <top style="thin">
        <color indexed="64"/>
      </top>
      <bottom style="thin">
        <color theme="0"/>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4">
    <xf numFmtId="0" fontId="0" fillId="0" borderId="0"/>
    <xf numFmtId="0" fontId="3" fillId="16" borderId="9" applyNumberFormat="0" applyAlignment="0" applyProtection="0"/>
    <xf numFmtId="9" fontId="5" fillId="0" borderId="0" applyFont="0" applyFill="0" applyBorder="0" applyAlignment="0" applyProtection="0"/>
    <xf numFmtId="0" fontId="25" fillId="0" borderId="0" applyNumberFormat="0" applyFill="0" applyBorder="0" applyAlignment="0" applyProtection="0"/>
  </cellStyleXfs>
  <cellXfs count="296">
    <xf numFmtId="0" fontId="0" fillId="0" borderId="0" xfId="0"/>
    <xf numFmtId="0" fontId="0" fillId="0" borderId="0" xfId="0" applyAlignment="1">
      <alignment horizontal="center" vertical="center"/>
    </xf>
    <xf numFmtId="0" fontId="0" fillId="4" borderId="0" xfId="0" applyFill="1"/>
    <xf numFmtId="0" fontId="0" fillId="5" borderId="0" xfId="0" applyFill="1"/>
    <xf numFmtId="0" fontId="0" fillId="6" borderId="0" xfId="0" applyFill="1"/>
    <xf numFmtId="0" fontId="0" fillId="7" borderId="0" xfId="0" applyFill="1"/>
    <xf numFmtId="0" fontId="4" fillId="0" borderId="0" xfId="0" applyFont="1"/>
    <xf numFmtId="0" fontId="0" fillId="2" borderId="6" xfId="0" applyFill="1" applyBorder="1" applyAlignment="1">
      <alignment vertical="center"/>
    </xf>
    <xf numFmtId="0" fontId="6" fillId="0" borderId="0" xfId="0" applyFont="1"/>
    <xf numFmtId="0" fontId="0" fillId="17" borderId="0" xfId="0" applyFill="1"/>
    <xf numFmtId="0" fontId="1" fillId="0" borderId="0" xfId="0" applyFont="1" applyAlignment="1">
      <alignment horizontal="center"/>
    </xf>
    <xf numFmtId="0" fontId="1" fillId="4" borderId="0" xfId="0" applyFont="1" applyFill="1" applyAlignment="1">
      <alignment horizontal="center" vertical="center"/>
    </xf>
    <xf numFmtId="0" fontId="1" fillId="14" borderId="0" xfId="0" applyFont="1" applyFill="1" applyAlignment="1">
      <alignment horizontal="center" vertical="center"/>
    </xf>
    <xf numFmtId="0" fontId="1" fillId="15" borderId="0" xfId="0" applyFont="1" applyFill="1" applyAlignment="1">
      <alignment horizontal="center" vertical="center"/>
    </xf>
    <xf numFmtId="0" fontId="1" fillId="7" borderId="0" xfId="0" applyFont="1" applyFill="1" applyAlignment="1">
      <alignment horizontal="center" vertical="center"/>
    </xf>
    <xf numFmtId="0" fontId="0" fillId="0" borderId="0" xfId="0" applyAlignment="1">
      <alignment vertical="center"/>
    </xf>
    <xf numFmtId="164" fontId="0" fillId="0" borderId="0" xfId="0" applyNumberFormat="1"/>
    <xf numFmtId="0" fontId="7" fillId="0" borderId="0" xfId="0" applyFont="1" applyAlignment="1">
      <alignment vertical="center"/>
    </xf>
    <xf numFmtId="0" fontId="0" fillId="20" borderId="0" xfId="0" applyFill="1"/>
    <xf numFmtId="0" fontId="3" fillId="20" borderId="0" xfId="1" applyFill="1" applyBorder="1" applyAlignment="1">
      <alignment horizontal="center"/>
    </xf>
    <xf numFmtId="0" fontId="3" fillId="20" borderId="15" xfId="1" applyFill="1" applyBorder="1" applyAlignment="1">
      <alignment horizontal="center"/>
    </xf>
    <xf numFmtId="165" fontId="6" fillId="0" borderId="0" xfId="0" applyNumberFormat="1" applyFont="1" applyAlignment="1">
      <alignment horizontal="center" vertical="center"/>
    </xf>
    <xf numFmtId="0" fontId="4" fillId="20" borderId="14" xfId="0" applyFont="1" applyFill="1" applyBorder="1" applyAlignment="1">
      <alignment horizontal="center"/>
    </xf>
    <xf numFmtId="0" fontId="4" fillId="20" borderId="0" xfId="0" applyFont="1" applyFill="1" applyAlignment="1">
      <alignment horizontal="center"/>
    </xf>
    <xf numFmtId="0" fontId="4" fillId="20" borderId="15" xfId="0" applyFont="1" applyFill="1" applyBorder="1" applyAlignment="1">
      <alignment horizontal="center"/>
    </xf>
    <xf numFmtId="0" fontId="8" fillId="0" borderId="0" xfId="0" applyFont="1" applyAlignment="1">
      <alignment vertical="center"/>
    </xf>
    <xf numFmtId="0" fontId="0" fillId="0" borderId="0" xfId="0" applyAlignment="1">
      <alignment vertical="top"/>
    </xf>
    <xf numFmtId="0" fontId="12" fillId="0" borderId="0" xfId="0" applyFont="1"/>
    <xf numFmtId="0" fontId="0" fillId="2" borderId="6" xfId="0" applyFill="1" applyBorder="1" applyAlignment="1">
      <alignment horizontal="center" vertical="center"/>
    </xf>
    <xf numFmtId="0" fontId="0" fillId="2" borderId="4" xfId="0" applyFill="1" applyBorder="1" applyAlignment="1">
      <alignment horizontal="center" vertical="center"/>
    </xf>
    <xf numFmtId="0" fontId="17" fillId="8" borderId="7" xfId="0" applyFont="1" applyFill="1" applyBorder="1" applyAlignment="1" applyProtection="1">
      <alignment horizontal="center" vertical="center" wrapText="1"/>
      <protection locked="0"/>
    </xf>
    <xf numFmtId="0" fontId="19" fillId="2" borderId="5" xfId="0" applyFont="1" applyFill="1" applyBorder="1" applyAlignment="1">
      <alignment horizontal="right" vertical="center"/>
    </xf>
    <xf numFmtId="0" fontId="20" fillId="2" borderId="6" xfId="0" applyFont="1" applyFill="1" applyBorder="1" applyAlignment="1">
      <alignment vertical="center"/>
    </xf>
    <xf numFmtId="0" fontId="20" fillId="2" borderId="6" xfId="0" applyFont="1" applyFill="1" applyBorder="1" applyAlignment="1">
      <alignment horizontal="center" vertical="center"/>
    </xf>
    <xf numFmtId="0" fontId="17" fillId="22" borderId="7" xfId="0" applyFont="1" applyFill="1" applyBorder="1" applyAlignment="1">
      <alignment horizontal="center" vertical="center" wrapText="1"/>
    </xf>
    <xf numFmtId="0" fontId="17" fillId="9" borderId="7" xfId="0" applyFont="1" applyFill="1" applyBorder="1" applyAlignment="1">
      <alignment horizontal="center" vertical="center" wrapText="1"/>
    </xf>
    <xf numFmtId="0" fontId="17" fillId="10" borderId="7" xfId="0" applyFont="1" applyFill="1" applyBorder="1" applyAlignment="1">
      <alignment horizontal="center" vertical="center" wrapText="1"/>
    </xf>
    <xf numFmtId="0" fontId="17" fillId="11" borderId="7"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3" borderId="7" xfId="0"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xf numFmtId="0" fontId="6" fillId="0" borderId="0" xfId="0" applyFont="1" applyAlignment="1">
      <alignment vertical="center"/>
    </xf>
    <xf numFmtId="168" fontId="19" fillId="2" borderId="3" xfId="0" applyNumberFormat="1" applyFont="1" applyFill="1" applyBorder="1" applyAlignment="1">
      <alignment horizontal="center" vertical="center"/>
    </xf>
    <xf numFmtId="0" fontId="20" fillId="2" borderId="21" xfId="0" applyFont="1" applyFill="1" applyBorder="1" applyAlignment="1">
      <alignment horizontal="center" vertical="center"/>
    </xf>
    <xf numFmtId="0" fontId="11" fillId="0" borderId="0" xfId="0" applyFont="1"/>
    <xf numFmtId="0" fontId="6" fillId="20" borderId="14" xfId="0" applyFont="1" applyFill="1" applyBorder="1"/>
    <xf numFmtId="0" fontId="13" fillId="23" borderId="14" xfId="1" applyFont="1" applyFill="1" applyBorder="1" applyAlignment="1" applyProtection="1">
      <alignment horizontal="right" vertical="center"/>
      <protection locked="0"/>
    </xf>
    <xf numFmtId="0" fontId="10" fillId="23" borderId="0" xfId="1" applyFont="1" applyFill="1" applyBorder="1" applyAlignment="1" applyProtection="1">
      <alignment horizontal="right" vertical="center"/>
      <protection locked="0"/>
    </xf>
    <xf numFmtId="166" fontId="10" fillId="21" borderId="0" xfId="1" applyNumberFormat="1" applyFont="1" applyFill="1" applyBorder="1" applyAlignment="1" applyProtection="1">
      <alignment horizontal="center" vertical="center"/>
    </xf>
    <xf numFmtId="166" fontId="10" fillId="21" borderId="15" xfId="1" applyNumberFormat="1" applyFont="1" applyFill="1" applyBorder="1" applyAlignment="1" applyProtection="1">
      <alignment horizontal="center" vertical="center"/>
    </xf>
    <xf numFmtId="166" fontId="9" fillId="19" borderId="0" xfId="1" applyNumberFormat="1" applyFont="1" applyFill="1" applyBorder="1" applyAlignment="1" applyProtection="1">
      <alignment horizontal="center" vertical="center"/>
    </xf>
    <xf numFmtId="166" fontId="9" fillId="19" borderId="15" xfId="1" applyNumberFormat="1" applyFont="1" applyFill="1" applyBorder="1" applyAlignment="1" applyProtection="1">
      <alignment horizontal="center" vertical="center"/>
    </xf>
    <xf numFmtId="167" fontId="9" fillId="19" borderId="16" xfId="2" applyNumberFormat="1" applyFont="1" applyFill="1" applyBorder="1" applyAlignment="1" applyProtection="1">
      <alignment horizontal="center" vertical="center"/>
    </xf>
    <xf numFmtId="167" fontId="9" fillId="19" borderId="2" xfId="2" applyNumberFormat="1" applyFont="1" applyFill="1" applyBorder="1" applyAlignment="1" applyProtection="1">
      <alignment horizontal="center" vertical="center"/>
    </xf>
    <xf numFmtId="0" fontId="20" fillId="0" borderId="2"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17" fontId="20" fillId="0" borderId="3" xfId="0" applyNumberFormat="1" applyFont="1" applyBorder="1" applyAlignment="1" applyProtection="1">
      <alignment horizontal="center" vertical="center" wrapText="1"/>
      <protection locked="0"/>
    </xf>
    <xf numFmtId="168" fontId="20" fillId="0" borderId="3" xfId="0" applyNumberFormat="1" applyFont="1" applyBorder="1" applyAlignment="1" applyProtection="1">
      <alignment horizontal="center" vertical="center"/>
      <protection locked="0"/>
    </xf>
    <xf numFmtId="0" fontId="20" fillId="0" borderId="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17" fillId="8" borderId="8" xfId="0" applyFont="1" applyFill="1" applyBorder="1" applyAlignment="1" applyProtection="1">
      <alignment horizontal="center" vertical="center" wrapText="1"/>
      <protection locked="0"/>
    </xf>
    <xf numFmtId="0" fontId="17" fillId="22" borderId="7" xfId="0" applyFont="1" applyFill="1" applyBorder="1" applyAlignment="1" applyProtection="1">
      <alignment horizontal="center" vertical="center" wrapText="1"/>
      <protection locked="0"/>
    </xf>
    <xf numFmtId="0" fontId="17" fillId="22" borderId="17" xfId="0" applyFont="1" applyFill="1" applyBorder="1" applyAlignment="1" applyProtection="1">
      <alignment horizontal="center" vertical="center" wrapText="1"/>
      <protection locked="0"/>
    </xf>
    <xf numFmtId="0" fontId="17" fillId="9" borderId="7" xfId="0" applyFont="1" applyFill="1" applyBorder="1" applyAlignment="1" applyProtection="1">
      <alignment horizontal="center" vertical="center" wrapText="1"/>
      <protection locked="0"/>
    </xf>
    <xf numFmtId="0" fontId="17" fillId="9" borderId="17" xfId="0" applyFont="1" applyFill="1" applyBorder="1" applyAlignment="1" applyProtection="1">
      <alignment horizontal="center" vertical="center" wrapText="1"/>
      <protection locked="0"/>
    </xf>
    <xf numFmtId="0" fontId="17" fillId="10" borderId="7" xfId="0" applyFont="1" applyFill="1" applyBorder="1" applyAlignment="1" applyProtection="1">
      <alignment horizontal="center" vertical="center" wrapText="1"/>
      <protection locked="0"/>
    </xf>
    <xf numFmtId="0" fontId="17" fillId="10" borderId="17" xfId="0" applyFont="1" applyFill="1" applyBorder="1" applyAlignment="1" applyProtection="1">
      <alignment horizontal="center" vertical="center" wrapText="1"/>
      <protection locked="0"/>
    </xf>
    <xf numFmtId="0" fontId="17" fillId="11" borderId="7" xfId="0" applyFont="1" applyFill="1" applyBorder="1" applyAlignment="1" applyProtection="1">
      <alignment horizontal="center" vertical="center" wrapText="1"/>
      <protection locked="0"/>
    </xf>
    <xf numFmtId="0" fontId="17" fillId="11" borderId="17" xfId="0" applyFont="1" applyFill="1" applyBorder="1" applyAlignment="1" applyProtection="1">
      <alignment horizontal="center" vertical="center" wrapText="1"/>
      <protection locked="0"/>
    </xf>
    <xf numFmtId="0" fontId="17" fillId="12" borderId="7" xfId="0" applyFont="1" applyFill="1" applyBorder="1" applyAlignment="1" applyProtection="1">
      <alignment horizontal="center" vertical="center" wrapText="1"/>
      <protection locked="0"/>
    </xf>
    <xf numFmtId="0" fontId="17" fillId="12" borderId="17" xfId="0" applyFont="1" applyFill="1" applyBorder="1" applyAlignment="1" applyProtection="1">
      <alignment horizontal="center" vertical="center" wrapText="1"/>
      <protection locked="0"/>
    </xf>
    <xf numFmtId="0" fontId="17" fillId="13" borderId="7" xfId="0" applyFont="1" applyFill="1" applyBorder="1" applyAlignment="1" applyProtection="1">
      <alignment horizontal="center" vertical="center" wrapText="1"/>
      <protection locked="0"/>
    </xf>
    <xf numFmtId="0" fontId="17" fillId="13" borderId="17" xfId="0" applyFont="1" applyFill="1" applyBorder="1" applyAlignment="1" applyProtection="1">
      <alignment horizontal="center" vertical="center" wrapText="1"/>
      <protection locked="0"/>
    </xf>
    <xf numFmtId="0" fontId="4" fillId="20" borderId="0" xfId="0" applyFont="1" applyFill="1" applyAlignment="1" applyProtection="1">
      <alignment horizontal="center"/>
      <protection locked="0"/>
    </xf>
    <xf numFmtId="0" fontId="0" fillId="0" borderId="0" xfId="0" applyProtection="1">
      <protection locked="0"/>
    </xf>
    <xf numFmtId="170" fontId="10" fillId="23" borderId="0" xfId="2" applyNumberFormat="1" applyFont="1" applyFill="1" applyBorder="1" applyAlignment="1" applyProtection="1">
      <alignment horizontal="center" vertical="center"/>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center" wrapText="1"/>
    </xf>
    <xf numFmtId="0" fontId="0" fillId="0" borderId="0" xfId="0" applyAlignment="1" applyProtection="1">
      <alignment vertical="center" wrapText="1"/>
      <protection locked="0"/>
    </xf>
    <xf numFmtId="9" fontId="0" fillId="0" borderId="0" xfId="0" applyNumberFormat="1" applyAlignment="1">
      <alignment horizontal="center" vertical="center"/>
    </xf>
    <xf numFmtId="0" fontId="0" fillId="0" borderId="0" xfId="0" applyAlignment="1">
      <alignment wrapText="1"/>
    </xf>
    <xf numFmtId="171" fontId="0" fillId="18" borderId="0" xfId="0" applyNumberFormat="1" applyFill="1"/>
    <xf numFmtId="172" fontId="0" fillId="18" borderId="0" xfId="0" applyNumberFormat="1" applyFill="1"/>
    <xf numFmtId="174" fontId="0" fillId="0" borderId="0" xfId="0" applyNumberFormat="1"/>
    <xf numFmtId="173" fontId="0" fillId="0" borderId="0" xfId="0" applyNumberFormat="1"/>
    <xf numFmtId="9" fontId="0" fillId="0" borderId="0" xfId="0" applyNumberFormat="1" applyAlignment="1" applyProtection="1">
      <alignment horizontal="center" vertical="center"/>
      <protection locked="0"/>
    </xf>
    <xf numFmtId="175" fontId="0" fillId="18" borderId="0" xfId="0" applyNumberFormat="1" applyFill="1"/>
    <xf numFmtId="3" fontId="0" fillId="0" borderId="0" xfId="0" applyNumberFormat="1"/>
    <xf numFmtId="176" fontId="0" fillId="0" borderId="0" xfId="0" applyNumberFormat="1"/>
    <xf numFmtId="171" fontId="0" fillId="0" borderId="0" xfId="0" applyNumberFormat="1"/>
    <xf numFmtId="0" fontId="25" fillId="0" borderId="0" xfId="3"/>
    <xf numFmtId="0" fontId="28" fillId="0" borderId="0" xfId="0" applyFont="1"/>
    <xf numFmtId="172" fontId="28" fillId="0" borderId="0" xfId="0" applyNumberFormat="1" applyFont="1"/>
    <xf numFmtId="0" fontId="28" fillId="0" borderId="0" xfId="0" applyFont="1" applyAlignment="1">
      <alignment wrapText="1"/>
    </xf>
    <xf numFmtId="172" fontId="0" fillId="0" borderId="0" xfId="0" applyNumberFormat="1"/>
    <xf numFmtId="0" fontId="29" fillId="0" borderId="0" xfId="0" applyFont="1" applyAlignment="1">
      <alignment wrapText="1"/>
    </xf>
    <xf numFmtId="175" fontId="28" fillId="0" borderId="0" xfId="0" applyNumberFormat="1" applyFont="1"/>
    <xf numFmtId="0" fontId="25" fillId="0" borderId="0" xfId="3" applyFill="1" applyBorder="1"/>
    <xf numFmtId="1" fontId="0" fillId="18" borderId="0" xfId="0" applyNumberFormat="1" applyFill="1"/>
    <xf numFmtId="0" fontId="30" fillId="0" borderId="0" xfId="0" applyFont="1"/>
    <xf numFmtId="2" fontId="0" fillId="0" borderId="0" xfId="0" applyNumberFormat="1"/>
    <xf numFmtId="0" fontId="31" fillId="0" borderId="0" xfId="0" applyFont="1" applyAlignment="1">
      <alignment wrapText="1"/>
    </xf>
    <xf numFmtId="1" fontId="0" fillId="0" borderId="0" xfId="0" applyNumberFormat="1"/>
    <xf numFmtId="2" fontId="0" fillId="18" borderId="0" xfId="0" applyNumberFormat="1" applyFill="1"/>
    <xf numFmtId="0" fontId="0" fillId="17" borderId="0" xfId="0" applyFill="1" applyAlignment="1">
      <alignment wrapText="1"/>
    </xf>
    <xf numFmtId="2" fontId="0" fillId="0" borderId="0" xfId="0" applyNumberFormat="1" applyAlignment="1">
      <alignment horizontal="right"/>
    </xf>
    <xf numFmtId="172" fontId="0" fillId="18" borderId="0" xfId="0" applyNumberFormat="1" applyFill="1" applyAlignment="1">
      <alignment horizontal="right"/>
    </xf>
    <xf numFmtId="171" fontId="0" fillId="0" borderId="0" xfId="0" applyNumberFormat="1" applyAlignment="1">
      <alignment horizontal="right"/>
    </xf>
    <xf numFmtId="171" fontId="28" fillId="0" borderId="0" xfId="0" applyNumberFormat="1" applyFont="1"/>
    <xf numFmtId="0" fontId="25" fillId="0" borderId="0" xfId="3" applyAlignment="1"/>
    <xf numFmtId="2" fontId="0" fillId="18" borderId="0" xfId="0" applyNumberFormat="1" applyFill="1" applyAlignment="1">
      <alignment horizontal="right"/>
    </xf>
    <xf numFmtId="177" fontId="0" fillId="0" borderId="0" xfId="0" applyNumberFormat="1"/>
    <xf numFmtId="175" fontId="0" fillId="18" borderId="0" xfId="0" applyNumberFormat="1" applyFill="1" applyAlignment="1">
      <alignment horizontal="right"/>
    </xf>
    <xf numFmtId="178" fontId="0" fillId="18" borderId="0" xfId="0" applyNumberFormat="1" applyFill="1" applyAlignment="1">
      <alignment horizontal="right"/>
    </xf>
    <xf numFmtId="0" fontId="33" fillId="0" borderId="0" xfId="3" applyFont="1" applyFill="1" applyAlignment="1">
      <alignment vertical="center"/>
    </xf>
    <xf numFmtId="0" fontId="25" fillId="0" borderId="0" xfId="3" applyFill="1" applyAlignment="1">
      <alignment vertical="center"/>
    </xf>
    <xf numFmtId="1" fontId="28" fillId="0" borderId="0" xfId="0" applyNumberFormat="1" applyFont="1"/>
    <xf numFmtId="2" fontId="28" fillId="0" borderId="0" xfId="0" applyNumberFormat="1" applyFont="1"/>
    <xf numFmtId="0" fontId="27" fillId="0" borderId="0" xfId="0" applyFont="1" applyAlignment="1">
      <alignment wrapText="1"/>
    </xf>
    <xf numFmtId="177" fontId="0" fillId="0" borderId="0" xfId="0" applyNumberFormat="1" applyAlignment="1">
      <alignment horizontal="right"/>
    </xf>
    <xf numFmtId="177" fontId="0" fillId="18" borderId="0" xfId="0" applyNumberFormat="1" applyFill="1"/>
    <xf numFmtId="1" fontId="0" fillId="0" borderId="0" xfId="0" applyNumberFormat="1" applyAlignment="1">
      <alignment horizontal="right"/>
    </xf>
    <xf numFmtId="0" fontId="26" fillId="0" borderId="0" xfId="0" applyFont="1" applyAlignment="1">
      <alignment wrapText="1"/>
    </xf>
    <xf numFmtId="0" fontId="34" fillId="0" borderId="0" xfId="0" applyFont="1"/>
    <xf numFmtId="179" fontId="0" fillId="0" borderId="0" xfId="0" applyNumberFormat="1"/>
    <xf numFmtId="180" fontId="0" fillId="0" borderId="0" xfId="0" applyNumberFormat="1"/>
    <xf numFmtId="181" fontId="0" fillId="0" borderId="0" xfId="0" applyNumberFormat="1" applyAlignment="1">
      <alignment horizontal="center" vertical="center"/>
    </xf>
    <xf numFmtId="182" fontId="0" fillId="0" borderId="0" xfId="0" applyNumberFormat="1" applyAlignment="1">
      <alignment horizontal="center" vertical="center"/>
    </xf>
    <xf numFmtId="183" fontId="0" fillId="0" borderId="0" xfId="0" applyNumberFormat="1"/>
    <xf numFmtId="184" fontId="0" fillId="0" borderId="0" xfId="0" applyNumberFormat="1" applyAlignment="1">
      <alignment horizontal="center" vertical="center"/>
    </xf>
    <xf numFmtId="0" fontId="26" fillId="0" borderId="0" xfId="0" applyFont="1" applyAlignment="1" applyProtection="1">
      <alignment vertical="center" wrapText="1"/>
      <protection locked="0"/>
    </xf>
    <xf numFmtId="0" fontId="26" fillId="0" borderId="0" xfId="0" applyFont="1" applyAlignment="1">
      <alignment vertical="center" wrapText="1"/>
    </xf>
    <xf numFmtId="0" fontId="0" fillId="0" borderId="0" xfId="0" applyAlignment="1">
      <alignment horizontal="center" vertical="center" wrapText="1"/>
    </xf>
    <xf numFmtId="9" fontId="20" fillId="17" borderId="1" xfId="0" applyNumberFormat="1" applyFont="1" applyFill="1" applyBorder="1" applyAlignment="1" applyProtection="1">
      <alignment horizontal="center" vertical="center"/>
      <protection locked="0"/>
    </xf>
    <xf numFmtId="0" fontId="26" fillId="0" borderId="0" xfId="0" applyFont="1"/>
    <xf numFmtId="185" fontId="0" fillId="0" borderId="0" xfId="0" applyNumberFormat="1"/>
    <xf numFmtId="182" fontId="0" fillId="0" borderId="0" xfId="0" applyNumberFormat="1"/>
    <xf numFmtId="187" fontId="0" fillId="0" borderId="0" xfId="0" applyNumberFormat="1"/>
    <xf numFmtId="182" fontId="0" fillId="7" borderId="0" xfId="0" applyNumberFormat="1" applyFill="1"/>
    <xf numFmtId="165" fontId="20" fillId="0" borderId="1" xfId="0" applyNumberFormat="1" applyFont="1" applyBorder="1" applyAlignment="1">
      <alignment horizontal="center" vertical="center"/>
    </xf>
    <xf numFmtId="188" fontId="0" fillId="0" borderId="0" xfId="0" applyNumberFormat="1"/>
    <xf numFmtId="192" fontId="20" fillId="0" borderId="1" xfId="0" applyNumberFormat="1" applyFont="1" applyBorder="1" applyAlignment="1">
      <alignment horizontal="center" vertical="center"/>
    </xf>
    <xf numFmtId="192" fontId="20" fillId="0" borderId="3" xfId="0" applyNumberFormat="1" applyFont="1" applyBorder="1" applyAlignment="1">
      <alignment horizontal="center" vertical="center"/>
    </xf>
    <xf numFmtId="0" fontId="24" fillId="0" borderId="0" xfId="0" applyFont="1"/>
    <xf numFmtId="9" fontId="0" fillId="0" borderId="0" xfId="0" applyNumberFormat="1" applyAlignment="1">
      <alignment horizontal="left" vertical="center"/>
    </xf>
    <xf numFmtId="0" fontId="0" fillId="0" borderId="0" xfId="0" applyAlignment="1">
      <alignment horizontal="left" vertical="center"/>
    </xf>
    <xf numFmtId="0" fontId="12" fillId="0" borderId="0" xfId="0" applyFont="1" applyAlignment="1">
      <alignment horizontal="left" vertical="center" wrapText="1"/>
    </xf>
    <xf numFmtId="0" fontId="7" fillId="0" borderId="0" xfId="0" applyFont="1"/>
    <xf numFmtId="0" fontId="38" fillId="0" borderId="0" xfId="0" applyFont="1" applyAlignment="1">
      <alignment horizontal="left" vertical="center"/>
    </xf>
    <xf numFmtId="0" fontId="20" fillId="0" borderId="29" xfId="0" applyFont="1" applyBorder="1" applyAlignment="1">
      <alignment horizontal="left" vertical="center" wrapText="1"/>
    </xf>
    <xf numFmtId="0" fontId="20" fillId="0" borderId="30" xfId="0" applyFont="1" applyBorder="1" applyAlignment="1">
      <alignment horizontal="left" vertical="center" wrapText="1"/>
    </xf>
    <xf numFmtId="0" fontId="20" fillId="0" borderId="0" xfId="0" applyFont="1" applyAlignment="1">
      <alignment vertical="center" wrapText="1"/>
    </xf>
    <xf numFmtId="184" fontId="20" fillId="0" borderId="0" xfId="0" applyNumberFormat="1" applyFont="1" applyAlignment="1">
      <alignment horizontal="center" vertical="center" wrapText="1"/>
    </xf>
    <xf numFmtId="184" fontId="20" fillId="0" borderId="0" xfId="0" applyNumberFormat="1" applyFont="1" applyAlignment="1">
      <alignment horizontal="center" vertical="center"/>
    </xf>
    <xf numFmtId="175" fontId="0" fillId="0" borderId="0" xfId="0" applyNumberFormat="1"/>
    <xf numFmtId="187" fontId="0" fillId="0" borderId="29" xfId="0" applyNumberFormat="1" applyBorder="1"/>
    <xf numFmtId="187" fontId="0" fillId="31" borderId="29" xfId="0" applyNumberFormat="1" applyFill="1" applyBorder="1"/>
    <xf numFmtId="197" fontId="0" fillId="0" borderId="0" xfId="0" applyNumberFormat="1"/>
    <xf numFmtId="0" fontId="20" fillId="17" borderId="1" xfId="0" applyFont="1" applyFill="1" applyBorder="1" applyAlignment="1" applyProtection="1">
      <alignment vertical="center" wrapText="1"/>
      <protection locked="0"/>
    </xf>
    <xf numFmtId="1" fontId="0" fillId="17" borderId="1" xfId="0" applyNumberFormat="1" applyFill="1" applyBorder="1" applyAlignment="1" applyProtection="1">
      <alignment horizontal="center" vertical="center"/>
      <protection locked="0"/>
    </xf>
    <xf numFmtId="0" fontId="0" fillId="17" borderId="1" xfId="0" applyFill="1" applyBorder="1" applyAlignment="1" applyProtection="1">
      <alignment horizontal="center" vertical="center"/>
      <protection locked="0"/>
    </xf>
    <xf numFmtId="0" fontId="20" fillId="0" borderId="1" xfId="0" applyFont="1" applyBorder="1" applyAlignment="1" applyProtection="1">
      <alignment horizontal="left" vertical="center"/>
      <protection locked="0"/>
    </xf>
    <xf numFmtId="186" fontId="20" fillId="0" borderId="1" xfId="0" applyNumberFormat="1" applyFont="1" applyBorder="1" applyAlignment="1" applyProtection="1">
      <alignment horizontal="center" vertical="center"/>
      <protection locked="0"/>
    </xf>
    <xf numFmtId="9" fontId="20"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left" vertical="center" wrapText="1"/>
      <protection locked="0"/>
    </xf>
    <xf numFmtId="168" fontId="20" fillId="2" borderId="3" xfId="0" applyNumberFormat="1" applyFont="1" applyFill="1" applyBorder="1" applyAlignment="1">
      <alignment horizontal="center" vertical="center"/>
    </xf>
    <xf numFmtId="191" fontId="20" fillId="0" borderId="1" xfId="0" applyNumberFormat="1" applyFont="1" applyBorder="1" applyAlignment="1" applyProtection="1">
      <alignment horizontal="center" vertical="center"/>
      <protection locked="0"/>
    </xf>
    <xf numFmtId="9" fontId="20" fillId="2" borderId="1" xfId="0" applyNumberFormat="1" applyFont="1" applyFill="1" applyBorder="1" applyAlignment="1">
      <alignment horizontal="center" vertical="center"/>
    </xf>
    <xf numFmtId="0" fontId="20" fillId="0" borderId="3" xfId="0" applyFont="1" applyBorder="1" applyAlignment="1" applyProtection="1">
      <alignment horizontal="left" vertical="center" wrapText="1"/>
      <protection locked="0"/>
    </xf>
    <xf numFmtId="190" fontId="20" fillId="0" borderId="3" xfId="0" applyNumberFormat="1" applyFont="1" applyBorder="1" applyAlignment="1" applyProtection="1">
      <alignment horizontal="center" vertical="center"/>
      <protection locked="0"/>
    </xf>
    <xf numFmtId="190" fontId="20" fillId="0" borderId="1" xfId="0" applyNumberFormat="1" applyFont="1" applyBorder="1" applyAlignment="1" applyProtection="1">
      <alignment horizontal="center" vertical="center"/>
      <protection locked="0"/>
    </xf>
    <xf numFmtId="9" fontId="20" fillId="2" borderId="3" xfId="0" applyNumberFormat="1" applyFont="1" applyFill="1" applyBorder="1" applyAlignment="1">
      <alignment horizontal="center" vertical="center"/>
    </xf>
    <xf numFmtId="189" fontId="20" fillId="0" borderId="3" xfId="0" applyNumberFormat="1" applyFont="1" applyBorder="1" applyAlignment="1" applyProtection="1">
      <alignment horizontal="center" vertical="center" wrapText="1"/>
      <protection locked="0"/>
    </xf>
    <xf numFmtId="9" fontId="20" fillId="0" borderId="3" xfId="0" applyNumberFormat="1" applyFont="1" applyBorder="1" applyAlignment="1" applyProtection="1">
      <alignment horizontal="center" vertical="center"/>
      <protection locked="0"/>
    </xf>
    <xf numFmtId="189" fontId="20" fillId="2" borderId="3" xfId="0" applyNumberFormat="1" applyFont="1" applyFill="1" applyBorder="1" applyAlignment="1">
      <alignment horizontal="center" vertical="center"/>
    </xf>
    <xf numFmtId="195" fontId="20" fillId="0" borderId="0" xfId="0" applyNumberFormat="1" applyFont="1" applyAlignment="1" applyProtection="1">
      <alignment horizontal="center" vertical="center"/>
      <protection locked="0"/>
    </xf>
    <xf numFmtId="194" fontId="20" fillId="0" borderId="0" xfId="0" applyNumberFormat="1" applyFont="1" applyAlignment="1" applyProtection="1">
      <alignment horizontal="center" vertical="center"/>
      <protection locked="0"/>
    </xf>
    <xf numFmtId="193" fontId="20" fillId="0" borderId="0" xfId="0" applyNumberFormat="1" applyFont="1" applyAlignment="1" applyProtection="1">
      <alignment horizontal="center" vertical="center"/>
      <protection locked="0"/>
    </xf>
    <xf numFmtId="196" fontId="20" fillId="0" borderId="0" xfId="0" applyNumberFormat="1" applyFont="1" applyAlignment="1" applyProtection="1">
      <alignment horizontal="center" vertical="center"/>
      <protection locked="0"/>
    </xf>
    <xf numFmtId="0" fontId="39" fillId="0" borderId="0" xfId="0" applyFont="1"/>
    <xf numFmtId="0" fontId="10" fillId="0" borderId="0" xfId="0" applyFont="1"/>
    <xf numFmtId="0" fontId="40" fillId="0" borderId="0" xfId="0" applyFont="1"/>
    <xf numFmtId="0" fontId="31" fillId="0" borderId="0" xfId="0" applyFont="1"/>
    <xf numFmtId="198" fontId="20" fillId="0" borderId="0" xfId="0" applyNumberFormat="1" applyFont="1" applyAlignment="1">
      <alignment horizontal="center" vertical="center"/>
    </xf>
    <xf numFmtId="198" fontId="20" fillId="0" borderId="0" xfId="0" applyNumberFormat="1" applyFont="1" applyAlignment="1" applyProtection="1">
      <alignment horizontal="center" vertical="center"/>
      <protection locked="0"/>
    </xf>
    <xf numFmtId="199" fontId="20" fillId="0" borderId="0" xfId="0" applyNumberFormat="1" applyFont="1" applyAlignment="1">
      <alignment horizontal="center" vertical="center"/>
    </xf>
    <xf numFmtId="169" fontId="4" fillId="18" borderId="21" xfId="0" applyNumberFormat="1" applyFont="1" applyFill="1" applyBorder="1" applyAlignment="1" applyProtection="1">
      <alignment horizontal="center" vertical="center"/>
      <protection locked="0"/>
    </xf>
    <xf numFmtId="169" fontId="4" fillId="18" borderId="5" xfId="0" applyNumberFormat="1" applyFont="1" applyFill="1" applyBorder="1" applyAlignment="1" applyProtection="1">
      <alignment horizontal="center" vertical="center"/>
      <protection locked="0"/>
    </xf>
    <xf numFmtId="0" fontId="8" fillId="0" borderId="0" xfId="0" applyFont="1" applyAlignment="1">
      <alignment horizontal="left" vertical="center" wrapText="1"/>
    </xf>
    <xf numFmtId="0" fontId="12" fillId="20" borderId="11" xfId="0" applyFont="1" applyFill="1" applyBorder="1" applyAlignment="1">
      <alignment horizontal="center"/>
    </xf>
    <xf numFmtId="0" fontId="12" fillId="20" borderId="12" xfId="0" applyFont="1" applyFill="1" applyBorder="1" applyAlignment="1">
      <alignment horizontal="center"/>
    </xf>
    <xf numFmtId="0" fontId="12" fillId="20" borderId="13" xfId="0" applyFont="1" applyFill="1" applyBorder="1" applyAlignment="1">
      <alignment horizontal="center"/>
    </xf>
    <xf numFmtId="169" fontId="4" fillId="20" borderId="14" xfId="1" applyNumberFormat="1" applyFont="1" applyFill="1" applyBorder="1" applyAlignment="1" applyProtection="1">
      <alignment horizontal="left"/>
    </xf>
    <xf numFmtId="169" fontId="4" fillId="20" borderId="0" xfId="1" applyNumberFormat="1" applyFont="1" applyFill="1" applyBorder="1" applyAlignment="1" applyProtection="1">
      <alignment horizontal="left"/>
    </xf>
    <xf numFmtId="0" fontId="8" fillId="0" borderId="0" xfId="0" applyFont="1" applyAlignment="1">
      <alignment horizontal="left" vertical="top" wrapText="1"/>
    </xf>
    <xf numFmtId="0" fontId="7" fillId="0" borderId="0" xfId="0" applyFont="1" applyAlignment="1">
      <alignment horizontal="left" vertical="top" wrapText="1"/>
    </xf>
    <xf numFmtId="0" fontId="15" fillId="21" borderId="14" xfId="1" applyFont="1" applyFill="1" applyBorder="1" applyAlignment="1">
      <alignment horizontal="right" vertical="center"/>
    </xf>
    <xf numFmtId="0" fontId="15" fillId="21" borderId="0" xfId="1" applyFont="1" applyFill="1" applyBorder="1" applyAlignment="1">
      <alignment horizontal="right" vertical="center"/>
    </xf>
    <xf numFmtId="0" fontId="6" fillId="0" borderId="0" xfId="0" applyFont="1" applyAlignment="1">
      <alignment horizontal="left" vertical="center" wrapText="1"/>
    </xf>
    <xf numFmtId="0" fontId="13" fillId="19" borderId="14" xfId="1" applyFont="1" applyFill="1" applyBorder="1" applyAlignment="1">
      <alignment horizontal="right" vertical="center"/>
    </xf>
    <xf numFmtId="0" fontId="13" fillId="19" borderId="0" xfId="1" applyFont="1" applyFill="1" applyBorder="1" applyAlignment="1">
      <alignment horizontal="right" vertical="center"/>
    </xf>
    <xf numFmtId="0" fontId="13" fillId="19" borderId="4" xfId="1" applyFont="1" applyFill="1" applyBorder="1" applyAlignment="1">
      <alignment horizontal="right" vertical="center"/>
    </xf>
    <xf numFmtId="0" fontId="13" fillId="19" borderId="16" xfId="1" applyFont="1" applyFill="1" applyBorder="1" applyAlignment="1">
      <alignment horizontal="right" vertical="center"/>
    </xf>
    <xf numFmtId="0" fontId="10" fillId="24" borderId="14" xfId="1" applyFont="1" applyFill="1" applyBorder="1" applyAlignment="1" applyProtection="1">
      <alignment horizontal="right" vertical="center" wrapText="1"/>
      <protection locked="0"/>
    </xf>
    <xf numFmtId="0" fontId="10" fillId="24" borderId="0" xfId="1" applyFont="1" applyFill="1" applyBorder="1" applyAlignment="1" applyProtection="1">
      <alignment horizontal="right" vertical="center" wrapText="1"/>
      <protection locked="0"/>
    </xf>
    <xf numFmtId="0" fontId="10" fillId="24" borderId="4" xfId="1" applyFont="1" applyFill="1" applyBorder="1" applyAlignment="1" applyProtection="1">
      <alignment horizontal="right" vertical="center" wrapText="1"/>
      <protection locked="0"/>
    </xf>
    <xf numFmtId="0" fontId="10" fillId="24" borderId="16" xfId="1" applyFont="1" applyFill="1" applyBorder="1" applyAlignment="1" applyProtection="1">
      <alignment horizontal="right" vertical="center" wrapText="1"/>
      <protection locked="0"/>
    </xf>
    <xf numFmtId="170" fontId="10" fillId="24" borderId="0" xfId="2" applyNumberFormat="1" applyFont="1" applyFill="1" applyBorder="1" applyAlignment="1" applyProtection="1">
      <alignment horizontal="center" vertical="center"/>
    </xf>
    <xf numFmtId="170" fontId="10" fillId="24" borderId="16" xfId="2" applyNumberFormat="1" applyFont="1" applyFill="1" applyBorder="1" applyAlignment="1" applyProtection="1">
      <alignment horizontal="center" vertical="center"/>
    </xf>
    <xf numFmtId="0" fontId="17" fillId="26" borderId="1" xfId="0" applyFont="1" applyFill="1" applyBorder="1" applyAlignment="1">
      <alignment horizontal="left" vertical="center"/>
    </xf>
    <xf numFmtId="0" fontId="17" fillId="26" borderId="1" xfId="0" applyFont="1" applyFill="1" applyBorder="1" applyAlignment="1">
      <alignment horizontal="center" vertical="center" wrapText="1"/>
    </xf>
    <xf numFmtId="0" fontId="17" fillId="26" borderId="1" xfId="0" applyFont="1" applyFill="1" applyBorder="1" applyAlignment="1">
      <alignment horizontal="center" vertical="center"/>
    </xf>
    <xf numFmtId="0" fontId="17" fillId="8" borderId="7" xfId="0" applyFont="1" applyFill="1" applyBorder="1" applyAlignment="1" applyProtection="1">
      <alignment horizontal="center" vertical="center" wrapText="1"/>
      <protection locked="0"/>
    </xf>
    <xf numFmtId="0" fontId="17" fillId="8" borderId="18" xfId="0" applyFont="1" applyFill="1" applyBorder="1" applyAlignment="1" applyProtection="1">
      <alignment horizontal="center" vertical="center" wrapText="1"/>
      <protection locked="0"/>
    </xf>
    <xf numFmtId="0" fontId="17" fillId="8" borderId="19" xfId="0" applyFont="1" applyFill="1" applyBorder="1" applyAlignment="1" applyProtection="1">
      <alignment horizontal="center" vertical="center" wrapText="1"/>
      <protection locked="0"/>
    </xf>
    <xf numFmtId="0" fontId="17" fillId="8" borderId="20" xfId="0" applyFont="1" applyFill="1" applyBorder="1" applyAlignment="1" applyProtection="1">
      <alignment horizontal="center" vertical="center" wrapText="1"/>
      <protection locked="0"/>
    </xf>
    <xf numFmtId="0" fontId="17" fillId="22" borderId="17" xfId="0" applyFont="1" applyFill="1" applyBorder="1" applyAlignment="1">
      <alignment horizontal="center" vertical="center" wrapText="1"/>
    </xf>
    <xf numFmtId="0" fontId="17" fillId="22" borderId="10" xfId="0" applyFont="1" applyFill="1" applyBorder="1" applyAlignment="1">
      <alignment horizontal="center" vertical="center" wrapText="1"/>
    </xf>
    <xf numFmtId="0" fontId="17" fillId="27" borderId="1" xfId="0" applyFont="1" applyFill="1" applyBorder="1" applyAlignment="1">
      <alignment horizontal="left" vertical="center"/>
    </xf>
    <xf numFmtId="0" fontId="17" fillId="27" borderId="1" xfId="0" applyFont="1" applyFill="1" applyBorder="1" applyAlignment="1">
      <alignment horizontal="center" vertical="center"/>
    </xf>
    <xf numFmtId="0" fontId="17" fillId="22" borderId="18" xfId="0" applyFont="1" applyFill="1" applyBorder="1" applyAlignment="1">
      <alignment horizontal="center" vertical="center" wrapText="1"/>
    </xf>
    <xf numFmtId="0" fontId="17" fillId="22" borderId="19" xfId="0" applyFont="1" applyFill="1" applyBorder="1" applyAlignment="1">
      <alignment horizontal="center" vertical="center" wrapText="1"/>
    </xf>
    <xf numFmtId="0" fontId="17" fillId="22" borderId="20" xfId="0" applyFont="1" applyFill="1" applyBorder="1" applyAlignment="1">
      <alignment horizontal="center" vertical="center" wrapText="1"/>
    </xf>
    <xf numFmtId="0" fontId="17" fillId="10" borderId="7" xfId="0" applyFont="1" applyFill="1" applyBorder="1" applyAlignment="1">
      <alignment horizontal="center" vertical="center" wrapText="1"/>
    </xf>
    <xf numFmtId="0" fontId="17" fillId="10" borderId="18" xfId="0" applyFont="1" applyFill="1" applyBorder="1" applyAlignment="1">
      <alignment horizontal="center" vertical="center" wrapText="1"/>
    </xf>
    <xf numFmtId="0" fontId="17" fillId="10" borderId="19" xfId="0" applyFont="1" applyFill="1" applyBorder="1" applyAlignment="1">
      <alignment horizontal="center" vertical="center" wrapText="1"/>
    </xf>
    <xf numFmtId="0" fontId="17" fillId="10" borderId="20" xfId="0" applyFont="1" applyFill="1" applyBorder="1" applyAlignment="1">
      <alignment horizontal="center" vertical="center" wrapText="1"/>
    </xf>
    <xf numFmtId="0" fontId="17" fillId="10" borderId="17" xfId="0"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9" borderId="7" xfId="0" applyFont="1" applyFill="1" applyBorder="1" applyAlignment="1">
      <alignment horizontal="center" vertical="center" wrapText="1"/>
    </xf>
    <xf numFmtId="0" fontId="17" fillId="9" borderId="18" xfId="0" applyFont="1" applyFill="1" applyBorder="1" applyAlignment="1">
      <alignment horizontal="center" vertical="center" wrapText="1"/>
    </xf>
    <xf numFmtId="0" fontId="17" fillId="9" borderId="19" xfId="0" applyFont="1" applyFill="1" applyBorder="1" applyAlignment="1">
      <alignment horizontal="center" vertical="center" wrapText="1"/>
    </xf>
    <xf numFmtId="0" fontId="17" fillId="9" borderId="20" xfId="0" applyFont="1" applyFill="1" applyBorder="1" applyAlignment="1">
      <alignment horizontal="center" vertical="center" wrapText="1"/>
    </xf>
    <xf numFmtId="0" fontId="17" fillId="28" borderId="1" xfId="0" applyFont="1" applyFill="1" applyBorder="1" applyAlignment="1">
      <alignment horizontal="left" vertical="center"/>
    </xf>
    <xf numFmtId="0" fontId="17" fillId="28" borderId="1" xfId="0" applyFont="1" applyFill="1" applyBorder="1" applyAlignment="1">
      <alignment horizontal="center" vertical="center" wrapText="1"/>
    </xf>
    <xf numFmtId="0" fontId="17" fillId="28" borderId="1" xfId="0" applyFont="1" applyFill="1" applyBorder="1" applyAlignment="1">
      <alignment horizontal="center" vertical="center"/>
    </xf>
    <xf numFmtId="0" fontId="17" fillId="11" borderId="7" xfId="0" applyFont="1" applyFill="1" applyBorder="1" applyAlignment="1">
      <alignment horizontal="center" vertical="center" wrapText="1"/>
    </xf>
    <xf numFmtId="0" fontId="17" fillId="11" borderId="18" xfId="0" applyFont="1" applyFill="1" applyBorder="1" applyAlignment="1">
      <alignment horizontal="center" vertical="center" wrapText="1"/>
    </xf>
    <xf numFmtId="0" fontId="17" fillId="11" borderId="19" xfId="0" applyFont="1" applyFill="1" applyBorder="1" applyAlignment="1">
      <alignment horizontal="center" vertical="center" wrapText="1"/>
    </xf>
    <xf numFmtId="0" fontId="17" fillId="11" borderId="20"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29" borderId="27" xfId="0" applyFont="1" applyFill="1" applyBorder="1" applyAlignment="1">
      <alignment horizontal="left" vertical="center"/>
    </xf>
    <xf numFmtId="0" fontId="17" fillId="29" borderId="28" xfId="0" applyFont="1" applyFill="1" applyBorder="1" applyAlignment="1">
      <alignment horizontal="left" vertical="center"/>
    </xf>
    <xf numFmtId="0" fontId="17" fillId="29" borderId="8" xfId="0" applyFont="1" applyFill="1" applyBorder="1" applyAlignment="1">
      <alignment horizontal="center" vertical="center" wrapText="1"/>
    </xf>
    <xf numFmtId="0" fontId="17" fillId="29" borderId="26" xfId="0" applyFont="1" applyFill="1" applyBorder="1" applyAlignment="1">
      <alignment horizontal="center" vertical="center" wrapText="1"/>
    </xf>
    <xf numFmtId="0" fontId="17" fillId="29" borderId="8" xfId="0" applyFont="1" applyFill="1" applyBorder="1" applyAlignment="1">
      <alignment horizontal="center" vertical="center"/>
    </xf>
    <xf numFmtId="0" fontId="17" fillId="29" borderId="26" xfId="0" applyFont="1" applyFill="1" applyBorder="1" applyAlignment="1">
      <alignment horizontal="center" vertical="center"/>
    </xf>
    <xf numFmtId="0" fontId="17" fillId="29" borderId="24" xfId="0" applyFont="1" applyFill="1" applyBorder="1" applyAlignment="1">
      <alignment horizontal="center" vertical="center"/>
    </xf>
    <xf numFmtId="0" fontId="17" fillId="29" borderId="25" xfId="0" applyFont="1" applyFill="1" applyBorder="1" applyAlignment="1">
      <alignment horizontal="center" vertical="center"/>
    </xf>
    <xf numFmtId="0" fontId="17" fillId="12" borderId="18" xfId="0" applyFont="1" applyFill="1" applyBorder="1" applyAlignment="1">
      <alignment horizontal="center" vertical="center" wrapText="1"/>
    </xf>
    <xf numFmtId="0" fontId="17" fillId="12" borderId="19" xfId="0" applyFont="1" applyFill="1" applyBorder="1" applyAlignment="1">
      <alignment horizontal="center" vertical="center" wrapText="1"/>
    </xf>
    <xf numFmtId="0" fontId="17" fillId="12" borderId="20" xfId="0" applyFont="1" applyFill="1" applyBorder="1" applyAlignment="1">
      <alignment horizontal="center" vertical="center" wrapText="1"/>
    </xf>
    <xf numFmtId="0" fontId="0" fillId="0" borderId="0" xfId="0" applyAlignment="1">
      <alignment horizontal="left" vertical="top" wrapText="1"/>
    </xf>
    <xf numFmtId="0" fontId="17" fillId="13" borderId="7" xfId="0" applyFont="1" applyFill="1" applyBorder="1" applyAlignment="1">
      <alignment horizontal="center" vertical="center" wrapText="1"/>
    </xf>
    <xf numFmtId="0" fontId="17" fillId="30" borderId="17" xfId="0" applyFont="1" applyFill="1" applyBorder="1" applyAlignment="1">
      <alignment horizontal="center" vertical="center" wrapText="1"/>
    </xf>
    <xf numFmtId="0" fontId="17" fillId="30" borderId="10" xfId="0" applyFont="1" applyFill="1" applyBorder="1" applyAlignment="1">
      <alignment horizontal="center" vertical="center" wrapText="1"/>
    </xf>
    <xf numFmtId="0" fontId="17" fillId="30" borderId="27" xfId="0" applyFont="1" applyFill="1" applyBorder="1" applyAlignment="1">
      <alignment horizontal="left" vertical="center"/>
    </xf>
    <xf numFmtId="0" fontId="17" fillId="30" borderId="28" xfId="0" applyFont="1" applyFill="1" applyBorder="1" applyAlignment="1">
      <alignment horizontal="left" vertical="center"/>
    </xf>
    <xf numFmtId="0" fontId="17" fillId="30" borderId="8" xfId="0" applyFont="1" applyFill="1" applyBorder="1" applyAlignment="1">
      <alignment horizontal="center" vertical="center" wrapText="1"/>
    </xf>
    <xf numFmtId="0" fontId="17" fillId="30" borderId="26" xfId="0" applyFont="1" applyFill="1" applyBorder="1" applyAlignment="1">
      <alignment horizontal="center" vertical="center" wrapText="1"/>
    </xf>
    <xf numFmtId="0" fontId="17" fillId="30" borderId="8" xfId="0" applyFont="1" applyFill="1" applyBorder="1" applyAlignment="1">
      <alignment horizontal="center" vertical="center"/>
    </xf>
    <xf numFmtId="0" fontId="17" fillId="30" borderId="26" xfId="0" applyFont="1" applyFill="1" applyBorder="1" applyAlignment="1">
      <alignment horizontal="center" vertical="center"/>
    </xf>
    <xf numFmtId="0" fontId="17" fillId="30" borderId="24" xfId="0" applyFont="1" applyFill="1" applyBorder="1" applyAlignment="1">
      <alignment horizontal="center" vertical="center"/>
    </xf>
    <xf numFmtId="0" fontId="17" fillId="30" borderId="25" xfId="0" applyFont="1" applyFill="1" applyBorder="1" applyAlignment="1">
      <alignment horizontal="center" vertical="center"/>
    </xf>
    <xf numFmtId="0" fontId="17" fillId="13" borderId="18" xfId="0" applyFont="1" applyFill="1" applyBorder="1" applyAlignment="1">
      <alignment horizontal="center" vertical="center" wrapText="1"/>
    </xf>
    <xf numFmtId="0" fontId="17" fillId="13" borderId="19" xfId="0" applyFont="1" applyFill="1" applyBorder="1" applyAlignment="1">
      <alignment horizontal="center" vertical="center" wrapText="1"/>
    </xf>
    <xf numFmtId="0" fontId="17" fillId="13" borderId="20" xfId="0" applyFont="1" applyFill="1" applyBorder="1" applyAlignment="1">
      <alignment horizontal="center" vertical="center" wrapText="1"/>
    </xf>
    <xf numFmtId="0" fontId="24" fillId="0" borderId="0" xfId="0" applyFont="1" applyAlignment="1">
      <alignment horizontal="left" vertical="top" wrapText="1"/>
    </xf>
    <xf numFmtId="0" fontId="25" fillId="0" borderId="0" xfId="3" applyAlignment="1">
      <alignment horizontal="left"/>
    </xf>
    <xf numFmtId="191" fontId="20" fillId="0" borderId="0" xfId="0" applyNumberFormat="1" applyFont="1" applyBorder="1" applyAlignment="1">
      <alignment horizontal="center" vertical="center"/>
    </xf>
    <xf numFmtId="0" fontId="17" fillId="3" borderId="17" xfId="0" applyFont="1" applyFill="1" applyBorder="1" applyAlignment="1" applyProtection="1">
      <alignment horizontal="center" vertical="center" wrapText="1"/>
    </xf>
    <xf numFmtId="0" fontId="17" fillId="3" borderId="18" xfId="0" applyFont="1" applyFill="1" applyBorder="1" applyAlignment="1" applyProtection="1">
      <alignment horizontal="center" vertical="center" wrapText="1"/>
    </xf>
    <xf numFmtId="0" fontId="17" fillId="3" borderId="19" xfId="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9" fillId="2" borderId="5" xfId="0" applyFont="1" applyFill="1" applyBorder="1" applyAlignment="1" applyProtection="1">
      <alignment horizontal="right" vertical="center"/>
    </xf>
    <xf numFmtId="168" fontId="19" fillId="2" borderId="3" xfId="0" applyNumberFormat="1" applyFont="1" applyFill="1" applyBorder="1" applyAlignment="1" applyProtection="1">
      <alignment horizontal="center" vertical="center"/>
    </xf>
    <xf numFmtId="0" fontId="0" fillId="0" borderId="0" xfId="0" applyProtection="1"/>
    <xf numFmtId="0" fontId="37" fillId="0" borderId="0" xfId="0" applyFont="1" applyAlignment="1" applyProtection="1">
      <alignment horizontal="left" vertical="center" indent="2"/>
    </xf>
    <xf numFmtId="165" fontId="20" fillId="17" borderId="1" xfId="0" applyNumberFormat="1" applyFont="1" applyFill="1" applyBorder="1" applyAlignment="1" applyProtection="1">
      <alignment horizontal="center" vertical="center"/>
    </xf>
    <xf numFmtId="0" fontId="17" fillId="3" borderId="10" xfId="0" applyFont="1" applyFill="1" applyBorder="1" applyAlignment="1" applyProtection="1">
      <alignment horizontal="center" vertical="center" wrapText="1"/>
    </xf>
    <xf numFmtId="0" fontId="17" fillId="3" borderId="22" xfId="0" applyFont="1" applyFill="1" applyBorder="1" applyAlignment="1" applyProtection="1">
      <alignment horizontal="center" vertical="center" wrapText="1"/>
    </xf>
    <xf numFmtId="0" fontId="34" fillId="0" borderId="0" xfId="0" applyFont="1" applyProtection="1"/>
    <xf numFmtId="0" fontId="7" fillId="0" borderId="23" xfId="0" applyFont="1" applyBorder="1" applyAlignment="1" applyProtection="1">
      <alignment horizontal="left" vertical="center" wrapText="1"/>
    </xf>
    <xf numFmtId="0" fontId="0" fillId="0" borderId="0" xfId="0" applyAlignment="1" applyProtection="1">
      <alignment vertical="center"/>
    </xf>
    <xf numFmtId="0" fontId="17" fillId="25" borderId="1" xfId="0" applyFont="1" applyFill="1" applyBorder="1" applyAlignment="1" applyProtection="1">
      <alignment horizontal="center" vertical="center"/>
    </xf>
    <xf numFmtId="0" fontId="17" fillId="25" borderId="1" xfId="0" applyFont="1" applyFill="1" applyBorder="1" applyAlignment="1" applyProtection="1">
      <alignment horizontal="center" vertical="center" wrapText="1"/>
    </xf>
    <xf numFmtId="0" fontId="17" fillId="27" borderId="1" xfId="0" applyFont="1" applyFill="1" applyBorder="1" applyAlignment="1">
      <alignment horizontal="center" vertical="center" wrapText="1"/>
    </xf>
  </cellXfs>
  <cellStyles count="4">
    <cellStyle name="Berechnung" xfId="1" builtinId="22"/>
    <cellStyle name="Link" xfId="3" builtinId="8"/>
    <cellStyle name="Prozent" xfId="2" builtinId="5"/>
    <cellStyle name="Standard" xfId="0" builtinId="0"/>
  </cellStyles>
  <dxfs count="99">
    <dxf>
      <numFmt numFmtId="186" formatCode="#\ ###\ ###\ &quot;Blätter&quot;"/>
    </dxf>
    <dxf>
      <numFmt numFmtId="186" formatCode="#\ ###\ ###\ &quot;Blätter&quot;"/>
    </dxf>
    <dxf>
      <numFmt numFmtId="186" formatCode="#\ ###\ ###\ &quot;Blätter&quot;"/>
    </dxf>
    <dxf>
      <numFmt numFmtId="186" formatCode="#\ ###\ ###\ &quot;Blätter&quot;"/>
    </dxf>
    <dxf>
      <numFmt numFmtId="186" formatCode="#\ ###\ ###\ &quot;Blätter&quot;"/>
    </dxf>
    <dxf>
      <numFmt numFmtId="214" formatCode="###\ ###\ ###\ &quot;Normalrollen&quot;"/>
    </dxf>
    <dxf>
      <numFmt numFmtId="214" formatCode="###\ ###\ ###\ &quot;Normalrollen&quot;"/>
    </dxf>
    <dxf>
      <numFmt numFmtId="214" formatCode="###\ ###\ ###\ &quot;Normalrollen&quot;"/>
    </dxf>
    <dxf>
      <numFmt numFmtId="213" formatCode="###\ ###\ ###\ &quot;Jumborollen&quot;"/>
    </dxf>
    <dxf>
      <numFmt numFmtId="213" formatCode="###\ ###\ ###\ &quot;Jumborollen&quot;"/>
    </dxf>
    <dxf>
      <numFmt numFmtId="213" formatCode="###\ ###\ ###\ &quot;Jumborollen&quot;"/>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numFmt numFmtId="211" formatCode="###\ ###\ ###\ &quot;Portionen&quot;"/>
    </dxf>
    <dxf>
      <numFmt numFmtId="211" formatCode="###\ ###\ ###\ &quot;Portionen&quot;"/>
    </dxf>
    <dxf>
      <numFmt numFmtId="211" formatCode="###\ ###\ ###\ &quot;Portionen&quot;"/>
    </dxf>
    <dxf>
      <numFmt numFmtId="210" formatCode="###\ ###\ &quot;Brötchen&quot;"/>
    </dxf>
    <dxf>
      <numFmt numFmtId="210" formatCode="###\ ###\ &quot;Brötchen&quot;"/>
    </dxf>
    <dxf>
      <numFmt numFmtId="210" formatCode="###\ ###\ &quot;Brötchen&quot;"/>
    </dxf>
    <dxf>
      <numFmt numFmtId="209" formatCode="###\ ###\ &quot;Stück&quot;"/>
    </dxf>
    <dxf>
      <numFmt numFmtId="208" formatCode="#\ ###\ ###\ &quot;kg&quot;"/>
    </dxf>
    <dxf>
      <numFmt numFmtId="207" formatCode="###\ ###\ ###\ &quot;Liter&quot;"/>
    </dxf>
    <dxf>
      <numFmt numFmtId="207" formatCode="###\ ###\ ###\ &quot;Liter&quot;"/>
    </dxf>
    <dxf>
      <numFmt numFmtId="207" formatCode="###\ ###\ ###\ &quot;Liter&quot;"/>
    </dxf>
    <dxf>
      <numFmt numFmtId="207" formatCode="###\ ###\ ###\ &quot;Liter&quot;"/>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numFmt numFmtId="193" formatCode="0.0\ &quot;m³&quot;"/>
    </dxf>
    <dxf>
      <numFmt numFmtId="194" formatCode="0.0\ &quot;t&quot;"/>
    </dxf>
    <dxf>
      <numFmt numFmtId="205" formatCode="\ 0.0\ &quot;m³&quot;"/>
    </dxf>
    <dxf>
      <numFmt numFmtId="194" formatCode="0.0\ &quot;t&quot;"/>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ill>
        <patternFill>
          <bgColor rgb="FFFF0000"/>
        </patternFill>
      </fill>
    </dxf>
    <dxf>
      <fill>
        <patternFill>
          <bgColor rgb="FFFF0000"/>
        </patternFill>
      </fill>
    </dxf>
    <dxf>
      <alignment horizontal="general" vertical="center" textRotation="0" wrapText="1" indent="0" justifyLastLine="0" shrinkToFit="0" readingOrder="0"/>
    </dxf>
    <dxf>
      <font>
        <strike val="0"/>
        <outline val="0"/>
        <shadow val="0"/>
        <u val="none"/>
        <vertAlign val="baseline"/>
        <sz val="10"/>
        <color theme="1"/>
        <name val="Calibri"/>
        <family val="2"/>
        <scheme val="minor"/>
      </font>
      <numFmt numFmtId="198" formatCode="0\ &quot;kWh Strom&quot;"/>
      <alignment horizontal="center" vertical="center" textRotation="0" wrapText="0" indent="0" justifyLastLine="0" shrinkToFit="0" readingOrder="0"/>
      <protection locked="1" hidden="0"/>
    </dxf>
    <dxf>
      <font>
        <strike val="0"/>
        <outline val="0"/>
        <shadow val="0"/>
        <u val="none"/>
        <vertAlign val="baseline"/>
        <sz val="10"/>
        <color theme="1"/>
        <name val="Calibri"/>
        <family val="2"/>
        <scheme val="minor"/>
      </font>
      <numFmt numFmtId="193" formatCode="0.0\ &quot;m³&quo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right/>
        <top style="thin">
          <color theme="4" tint="0.39997558519241921"/>
        </top>
        <bottom style="thin">
          <color theme="4" tint="0.39997558519241921"/>
        </bottom>
      </border>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s>
  <tableStyles count="0" defaultTableStyle="TableStyleMedium2" defaultPivotStyle="PivotStyleLight16"/>
  <colors>
    <mruColors>
      <color rgb="FFDF2C2A"/>
      <color rgb="FFF7BE24"/>
      <color rgb="FF33334D"/>
      <color rgb="FF508DC3"/>
      <color rgb="FFE76526"/>
      <color rgb="FF79B33D"/>
      <color rgb="FF455293"/>
      <color rgb="FFAA2120"/>
      <color rgb="FFE64628"/>
      <color rgb="FF1F32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Überblick Klimaschutzplan</a:t>
            </a:r>
          </a:p>
        </c:rich>
      </c:tx>
      <c:layout>
        <c:manualLayout>
          <c:xMode val="edge"/>
          <c:yMode val="edge"/>
          <c:x val="0.32888294133264845"/>
          <c:y val="3.649726434734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925082577509315"/>
          <c:y val="0.24266294126363544"/>
          <c:w val="0.33609488692842504"/>
          <c:h val="0.70140087740012647"/>
        </c:manualLayout>
      </c:layout>
      <c:doughnutChart>
        <c:varyColors val="1"/>
        <c:ser>
          <c:idx val="0"/>
          <c:order val="0"/>
          <c:dPt>
            <c:idx val="0"/>
            <c:bubble3D val="0"/>
            <c:spPr>
              <a:solidFill>
                <a:srgbClr val="92D050"/>
              </a:solidFill>
              <a:ln w="19050">
                <a:solidFill>
                  <a:schemeClr val="lt1"/>
                </a:solidFill>
              </a:ln>
              <a:effectLst/>
            </c:spPr>
            <c:extLst>
              <c:ext xmlns:c16="http://schemas.microsoft.com/office/drawing/2014/chart" uri="{C3380CC4-5D6E-409C-BE32-E72D297353CC}">
                <c16:uniqueId val="{00000001-FE99-47E1-84CD-397CBC109E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99-47E1-84CD-397CBC109E3F}"/>
              </c:ext>
            </c:extLst>
          </c:dPt>
          <c:dPt>
            <c:idx val="2"/>
            <c:bubble3D val="0"/>
            <c:spPr>
              <a:solidFill>
                <a:srgbClr val="FFEB9C"/>
              </a:solidFill>
              <a:ln w="19050">
                <a:solidFill>
                  <a:schemeClr val="lt1"/>
                </a:solidFill>
              </a:ln>
              <a:effectLst/>
            </c:spPr>
            <c:extLst>
              <c:ext xmlns:c16="http://schemas.microsoft.com/office/drawing/2014/chart" uri="{C3380CC4-5D6E-409C-BE32-E72D297353CC}">
                <c16:uniqueId val="{00000005-FE99-47E1-84CD-397CBC109E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99-47E1-84CD-397CBC109E3F}"/>
              </c:ext>
            </c:extLst>
          </c:dPt>
          <c:dPt>
            <c:idx val="4"/>
            <c:bubble3D val="0"/>
            <c:spPr>
              <a:solidFill>
                <a:srgbClr val="BFBFBF"/>
              </a:solidFill>
              <a:ln w="19050">
                <a:solidFill>
                  <a:schemeClr val="lt1"/>
                </a:solidFill>
              </a:ln>
              <a:effectLst/>
            </c:spPr>
            <c:extLst>
              <c:ext xmlns:c16="http://schemas.microsoft.com/office/drawing/2014/chart" uri="{C3380CC4-5D6E-409C-BE32-E72D297353CC}">
                <c16:uniqueId val="{00000009-C772-4082-A1E5-0BF2EDF95DA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772-4082-A1E5-0BF2EDF95DAE}"/>
              </c:ext>
            </c:extLst>
          </c:dPt>
          <c:dPt>
            <c:idx val="6"/>
            <c:bubble3D val="0"/>
            <c:spPr>
              <a:solidFill>
                <a:srgbClr val="FF0000"/>
              </a:solidFill>
              <a:ln w="19050">
                <a:solidFill>
                  <a:schemeClr val="lt1"/>
                </a:solidFill>
              </a:ln>
              <a:effectLst/>
            </c:spPr>
            <c:extLst>
              <c:ext xmlns:c16="http://schemas.microsoft.com/office/drawing/2014/chart" uri="{C3380CC4-5D6E-409C-BE32-E72D297353CC}">
                <c16:uniqueId val="{0000000D-C772-4082-A1E5-0BF2EDF95DAE}"/>
              </c:ext>
            </c:extLst>
          </c:dPt>
          <c:cat>
            <c:strRef>
              <c:f>Überblick!$C$42:$C$48</c:f>
              <c:strCache>
                <c:ptCount val="7"/>
                <c:pt idx="0">
                  <c:v>Anzahl der umgesetzen Maßnahmen</c:v>
                </c:pt>
                <c:pt idx="2">
                  <c:v>Anzahl der in Umsetzung befindlichen Maßnahmen</c:v>
                </c:pt>
                <c:pt idx="4">
                  <c:v>Anzahl der zukünftig geplanten Maßnahmen</c:v>
                </c:pt>
                <c:pt idx="6">
                  <c:v>Anzahl der nicht umsetzbaren Maßnahmen </c:v>
                </c:pt>
              </c:strCache>
            </c:strRef>
          </c:cat>
          <c:val>
            <c:numRef>
              <c:f>Überblick!$D$42:$D$48</c:f>
              <c:numCache>
                <c:formatCode>General</c:formatCode>
                <c:ptCount val="7"/>
              </c:numCache>
            </c:numRef>
          </c:val>
          <c:extLst>
            <c:ext xmlns:c16="http://schemas.microsoft.com/office/drawing/2014/chart" uri="{C3380CC4-5D6E-409C-BE32-E72D297353CC}">
              <c16:uniqueId val="{00000008-FE99-47E1-84CD-397CBC109E3F}"/>
            </c:ext>
          </c:extLst>
        </c:ser>
        <c:ser>
          <c:idx val="3"/>
          <c:order val="1"/>
          <c:dPt>
            <c:idx val="0"/>
            <c:bubble3D val="0"/>
            <c:spPr>
              <a:solidFill>
                <a:srgbClr val="92D050"/>
              </a:solidFill>
              <a:ln w="19050">
                <a:solidFill>
                  <a:schemeClr val="lt1"/>
                </a:solidFill>
              </a:ln>
              <a:effectLst/>
            </c:spPr>
            <c:extLst>
              <c:ext xmlns:c16="http://schemas.microsoft.com/office/drawing/2014/chart" uri="{C3380CC4-5D6E-409C-BE32-E72D297353CC}">
                <c16:uniqueId val="{0000000A-FE99-47E1-84CD-397CBC109E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FE99-47E1-84CD-397CBC109E3F}"/>
              </c:ext>
            </c:extLst>
          </c:dPt>
          <c:dPt>
            <c:idx val="2"/>
            <c:bubble3D val="0"/>
            <c:spPr>
              <a:solidFill>
                <a:srgbClr val="FFEB9C"/>
              </a:solidFill>
              <a:ln w="19050">
                <a:solidFill>
                  <a:schemeClr val="lt1"/>
                </a:solidFill>
              </a:ln>
              <a:effectLst/>
            </c:spPr>
            <c:extLst>
              <c:ext xmlns:c16="http://schemas.microsoft.com/office/drawing/2014/chart" uri="{C3380CC4-5D6E-409C-BE32-E72D297353CC}">
                <c16:uniqueId val="{0000000E-FE99-47E1-84CD-397CBC109E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FE99-47E1-84CD-397CBC109E3F}"/>
              </c:ext>
            </c:extLst>
          </c:dPt>
          <c:dPt>
            <c:idx val="4"/>
            <c:bubble3D val="0"/>
            <c:spPr>
              <a:solidFill>
                <a:srgbClr val="BFBFBF"/>
              </a:solidFill>
              <a:ln w="19050">
                <a:solidFill>
                  <a:schemeClr val="lt1"/>
                </a:solidFill>
              </a:ln>
              <a:effectLst/>
            </c:spPr>
            <c:extLst>
              <c:ext xmlns:c16="http://schemas.microsoft.com/office/drawing/2014/chart" uri="{C3380CC4-5D6E-409C-BE32-E72D297353CC}">
                <c16:uniqueId val="{00000017-C772-4082-A1E5-0BF2EDF95DA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C772-4082-A1E5-0BF2EDF95DAE}"/>
              </c:ext>
            </c:extLst>
          </c:dPt>
          <c:dPt>
            <c:idx val="6"/>
            <c:bubble3D val="0"/>
            <c:spPr>
              <a:solidFill>
                <a:srgbClr val="FF0000"/>
              </a:solidFill>
              <a:ln w="19050">
                <a:solidFill>
                  <a:schemeClr val="lt1"/>
                </a:solidFill>
              </a:ln>
              <a:effectLst/>
            </c:spPr>
            <c:extLst>
              <c:ext xmlns:c16="http://schemas.microsoft.com/office/drawing/2014/chart" uri="{C3380CC4-5D6E-409C-BE32-E72D297353CC}">
                <c16:uniqueId val="{0000001B-C772-4082-A1E5-0BF2EDF95DAE}"/>
              </c:ext>
            </c:extLst>
          </c:dPt>
          <c:dLbls>
            <c:dLbl>
              <c:idx val="0"/>
              <c:layout>
                <c:manualLayout>
                  <c:x val="2.5551930513842318E-3"/>
                  <c:y val="4.9022147892251646E-3"/>
                </c:manualLayout>
              </c:layout>
              <c:tx>
                <c:rich>
                  <a:bodyPr/>
                  <a:lstStyle/>
                  <a:p>
                    <a:fld id="{61BC254B-ADBC-4BC3-8203-390E3E7479C7}" type="VALUE">
                      <a:rPr lang="en-US">
                        <a:solidFill>
                          <a:schemeClr val="tx1"/>
                        </a:solidFill>
                      </a:rPr>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FE99-47E1-84CD-397CBC109E3F}"/>
                </c:ext>
              </c:extLst>
            </c:dLbl>
            <c:dLbl>
              <c:idx val="4"/>
              <c:layout>
                <c:manualLayout>
                  <c:x val="-4.2587581820535229E-3"/>
                  <c:y val="1.0456426185456674E-2"/>
                </c:manualLayout>
              </c:layout>
              <c:tx>
                <c:rich>
                  <a:bodyPr/>
                  <a:lstStyle/>
                  <a:p>
                    <a:fld id="{E78CC196-13DB-43CD-9FD8-A358220D677A}" type="VALUE">
                      <a:rPr lang="en-US">
                        <a:solidFill>
                          <a:schemeClr val="tx1"/>
                        </a:solidFill>
                      </a:rPr>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C772-4082-A1E5-0BF2EDF95DAE}"/>
                </c:ext>
              </c:extLst>
            </c:dLbl>
            <c:dLbl>
              <c:idx val="6"/>
              <c:layout>
                <c:manualLayout>
                  <c:x val="-3.9255990788751804E-2"/>
                  <c:y val="-0.11986953467147296"/>
                </c:manualLayout>
              </c:layout>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fld id="{3BC08A5D-2578-41A4-A48A-181CE92945F6}" type="VALUE">
                      <a:rPr lang="en-US">
                        <a:solidFill>
                          <a:srgbClr val="FF0000"/>
                        </a:solidFill>
                      </a:rPr>
                      <a:pPr>
                        <a:defRPr sz="1400">
                          <a:solidFill>
                            <a:schemeClr val="bg1"/>
                          </a:solidFill>
                        </a:defRPr>
                      </a:pPr>
                      <a:t>[WERT]</a:t>
                    </a:fld>
                    <a:endParaRPr lang="de-DE"/>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C772-4082-A1E5-0BF2EDF95DA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Überblick!$C$42:$C$48</c:f>
              <c:strCache>
                <c:ptCount val="7"/>
                <c:pt idx="0">
                  <c:v>Anzahl der umgesetzen Maßnahmen</c:v>
                </c:pt>
                <c:pt idx="2">
                  <c:v>Anzahl der in Umsetzung befindlichen Maßnahmen</c:v>
                </c:pt>
                <c:pt idx="4">
                  <c:v>Anzahl der zukünftig geplanten Maßnahmen</c:v>
                </c:pt>
                <c:pt idx="6">
                  <c:v>Anzahl der nicht umsetzbaren Maßnahmen </c:v>
                </c:pt>
              </c:strCache>
            </c:strRef>
          </c:cat>
          <c:val>
            <c:numRef>
              <c:f>Überblick!$E$42:$E$48</c:f>
              <c:numCache>
                <c:formatCode>General</c:formatCode>
                <c:ptCount val="7"/>
                <c:pt idx="0">
                  <c:v>1</c:v>
                </c:pt>
                <c:pt idx="2">
                  <c:v>1</c:v>
                </c:pt>
                <c:pt idx="4">
                  <c:v>0</c:v>
                </c:pt>
                <c:pt idx="6">
                  <c:v>0</c:v>
                </c:pt>
              </c:numCache>
            </c:numRef>
          </c:val>
          <c:extLst>
            <c:ext xmlns:c16="http://schemas.microsoft.com/office/drawing/2014/chart" uri="{C3380CC4-5D6E-409C-BE32-E72D297353CC}">
              <c16:uniqueId val="{00000011-FE99-47E1-84CD-397CBC109E3F}"/>
            </c:ext>
          </c:extLst>
        </c:ser>
        <c:dLbls>
          <c:showLegendKey val="0"/>
          <c:showVal val="0"/>
          <c:showCatName val="0"/>
          <c:showSerName val="0"/>
          <c:showPercent val="0"/>
          <c:showBubbleSize val="0"/>
          <c:showLeaderLines val="1"/>
        </c:dLbls>
        <c:firstSliceAng val="0"/>
        <c:holeSize val="28"/>
      </c:doughnutChart>
      <c:spPr>
        <a:noFill/>
        <a:ln>
          <a:noFill/>
        </a:ln>
        <a:effectLst/>
      </c:spPr>
    </c:plotArea>
    <c:legend>
      <c:legendPos val="r"/>
      <c:legendEntry>
        <c:idx val="1"/>
        <c:delete val="1"/>
      </c:legendEntry>
      <c:legendEntry>
        <c:idx val="3"/>
        <c:delete val="1"/>
      </c:legendEntry>
      <c:legendEntry>
        <c:idx val="5"/>
        <c:delete val="1"/>
      </c:legendEntry>
      <c:layout>
        <c:manualLayout>
          <c:xMode val="edge"/>
          <c:yMode val="edge"/>
          <c:x val="0.50686554447859955"/>
          <c:y val="0.18429008206673547"/>
          <c:w val="0.44096453253700463"/>
          <c:h val="0.66914911638521291"/>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rnd"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sv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7.png"/><Relationship Id="rId5" Type="http://schemas.openxmlformats.org/officeDocument/2006/relationships/image" Target="../media/image6.sv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6.sv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svg"/><Relationship Id="rId1" Type="http://schemas.openxmlformats.org/officeDocument/2006/relationships/image" Target="../media/image12.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5.svg"/><Relationship Id="rId1" Type="http://schemas.openxmlformats.org/officeDocument/2006/relationships/image" Target="../media/image14.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svg"/><Relationship Id="rId1" Type="http://schemas.openxmlformats.org/officeDocument/2006/relationships/image" Target="../media/image16.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6.svg"/></Relationships>
</file>

<file path=xl/drawings/drawing1.xml><?xml version="1.0" encoding="utf-8"?>
<xdr:wsDr xmlns:xdr="http://schemas.openxmlformats.org/drawingml/2006/spreadsheetDrawing" xmlns:a="http://schemas.openxmlformats.org/drawingml/2006/main">
  <xdr:twoCellAnchor editAs="oneCell">
    <xdr:from>
      <xdr:col>8</xdr:col>
      <xdr:colOff>913454</xdr:colOff>
      <xdr:row>1</xdr:row>
      <xdr:rowOff>88152</xdr:rowOff>
    </xdr:from>
    <xdr:to>
      <xdr:col>12</xdr:col>
      <xdr:colOff>61646</xdr:colOff>
      <xdr:row>6</xdr:row>
      <xdr:rowOff>1284</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3025" y="278652"/>
          <a:ext cx="2590800" cy="865632"/>
        </a:xfrm>
        <a:prstGeom prst="rect">
          <a:avLst/>
        </a:prstGeom>
      </xdr:spPr>
    </xdr:pic>
    <xdr:clientData/>
  </xdr:twoCellAnchor>
  <xdr:twoCellAnchor>
    <xdr:from>
      <xdr:col>7</xdr:col>
      <xdr:colOff>123265</xdr:colOff>
      <xdr:row>16</xdr:row>
      <xdr:rowOff>179294</xdr:rowOff>
    </xdr:from>
    <xdr:to>
      <xdr:col>7</xdr:col>
      <xdr:colOff>717177</xdr:colOff>
      <xdr:row>19</xdr:row>
      <xdr:rowOff>212912</xdr:rowOff>
    </xdr:to>
    <xdr:sp macro="" textlink="">
      <xdr:nvSpPr>
        <xdr:cNvPr id="2" name="Pfeil: nach rechts 1">
          <a:extLst>
            <a:ext uri="{FF2B5EF4-FFF2-40B4-BE49-F238E27FC236}">
              <a16:creationId xmlns:a16="http://schemas.microsoft.com/office/drawing/2014/main" id="{00000000-0008-0000-0000-000002000000}"/>
            </a:ext>
          </a:extLst>
        </xdr:cNvPr>
        <xdr:cNvSpPr/>
      </xdr:nvSpPr>
      <xdr:spPr>
        <a:xfrm flipH="1">
          <a:off x="5995147" y="4784912"/>
          <a:ext cx="593912" cy="5602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314326</xdr:colOff>
      <xdr:row>37</xdr:row>
      <xdr:rowOff>176893</xdr:rowOff>
    </xdr:from>
    <xdr:to>
      <xdr:col>5</xdr:col>
      <xdr:colOff>256443</xdr:colOff>
      <xdr:row>49</xdr:row>
      <xdr:rowOff>176892</xdr:rowOff>
    </xdr:to>
    <xdr:sp macro="" textlink="">
      <xdr:nvSpPr>
        <xdr:cNvPr id="16" name="Rechteck: abgerundete Ecken 15">
          <a:extLst>
            <a:ext uri="{FF2B5EF4-FFF2-40B4-BE49-F238E27FC236}">
              <a16:creationId xmlns:a16="http://schemas.microsoft.com/office/drawing/2014/main" id="{00000000-0008-0000-0000-000010000000}"/>
            </a:ext>
          </a:extLst>
        </xdr:cNvPr>
        <xdr:cNvSpPr/>
      </xdr:nvSpPr>
      <xdr:spPr>
        <a:xfrm>
          <a:off x="1076326" y="10777658"/>
          <a:ext cx="5589882" cy="2835087"/>
        </a:xfrm>
        <a:prstGeom prst="roundRect">
          <a:avLst>
            <a:gd name="adj" fmla="val 5238"/>
          </a:avLst>
        </a:prstGeom>
        <a:noFill/>
        <a:ln w="19050">
          <a:solidFill>
            <a:schemeClr val="tx2"/>
          </a:solidFill>
        </a:ln>
        <a:effectLst>
          <a:softEdge rad="0"/>
        </a:effectLst>
        <a:scene3d>
          <a:camera prst="orthographicFront"/>
          <a:lightRig rig="threePt" dir="t"/>
        </a:scene3d>
        <a:sp3d>
          <a:bevelT w="165100" prst="coolSlant"/>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293532</xdr:colOff>
      <xdr:row>37</xdr:row>
      <xdr:rowOff>189319</xdr:rowOff>
    </xdr:from>
    <xdr:to>
      <xdr:col>11</xdr:col>
      <xdr:colOff>616583</xdr:colOff>
      <xdr:row>50</xdr:row>
      <xdr:rowOff>0</xdr:rowOff>
    </xdr:to>
    <xdr:graphicFrame macro="">
      <xdr:nvGraphicFramePr>
        <xdr:cNvPr id="20" name="Diagramm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714375</xdr:colOff>
      <xdr:row>21</xdr:row>
      <xdr:rowOff>291192</xdr:rowOff>
    </xdr:from>
    <xdr:to>
      <xdr:col>11</xdr:col>
      <xdr:colOff>707571</xdr:colOff>
      <xdr:row>24</xdr:row>
      <xdr:rowOff>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9028339" y="5842906"/>
          <a:ext cx="3394982" cy="9606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Bitte nehmen Sie hier keine weiteren Eintragungen vor! Diese werden später automatisch ergänzt.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128587</xdr:rowOff>
    </xdr:from>
    <xdr:to>
      <xdr:col>10</xdr:col>
      <xdr:colOff>715153</xdr:colOff>
      <xdr:row>45</xdr:row>
      <xdr:rowOff>19049</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848" b="26421"/>
        <a:stretch/>
      </xdr:blipFill>
      <xdr:spPr>
        <a:xfrm>
          <a:off x="0" y="1081087"/>
          <a:ext cx="8335153" cy="7510462"/>
        </a:xfrm>
        <a:prstGeom prst="rect">
          <a:avLst/>
        </a:prstGeom>
      </xdr:spPr>
    </xdr:pic>
    <xdr:clientData/>
  </xdr:twoCellAnchor>
  <xdr:twoCellAnchor editAs="oneCell">
    <xdr:from>
      <xdr:col>7</xdr:col>
      <xdr:colOff>457200</xdr:colOff>
      <xdr:row>1</xdr:row>
      <xdr:rowOff>38100</xdr:rowOff>
    </xdr:from>
    <xdr:to>
      <xdr:col>11</xdr:col>
      <xdr:colOff>2957</xdr:colOff>
      <xdr:row>5</xdr:row>
      <xdr:rowOff>141732</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1200" y="228600"/>
          <a:ext cx="2593757" cy="865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2240</xdr:colOff>
      <xdr:row>0</xdr:row>
      <xdr:rowOff>76200</xdr:rowOff>
    </xdr:from>
    <xdr:to>
      <xdr:col>1</xdr:col>
      <xdr:colOff>259053</xdr:colOff>
      <xdr:row>3</xdr:row>
      <xdr:rowOff>139705</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0" y="76200"/>
          <a:ext cx="626607" cy="641207"/>
        </a:xfrm>
        <a:prstGeom prst="rect">
          <a:avLst/>
        </a:prstGeom>
      </xdr:spPr>
    </xdr:pic>
    <xdr:clientData/>
  </xdr:twoCellAnchor>
  <xdr:twoCellAnchor>
    <xdr:from>
      <xdr:col>1</xdr:col>
      <xdr:colOff>493299</xdr:colOff>
      <xdr:row>1</xdr:row>
      <xdr:rowOff>19051</xdr:rowOff>
    </xdr:from>
    <xdr:to>
      <xdr:col>8</xdr:col>
      <xdr:colOff>179053</xdr:colOff>
      <xdr:row>2</xdr:row>
      <xdr:rowOff>151921</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864774" y="209551"/>
          <a:ext cx="6639004"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Abfall</a:t>
          </a:r>
        </a:p>
      </xdr:txBody>
    </xdr:sp>
    <xdr:clientData/>
  </xdr:twoCellAnchor>
  <xdr:twoCellAnchor>
    <xdr:from>
      <xdr:col>0</xdr:col>
      <xdr:colOff>0</xdr:colOff>
      <xdr:row>14</xdr:row>
      <xdr:rowOff>132522</xdr:rowOff>
    </xdr:from>
    <xdr:to>
      <xdr:col>11</xdr:col>
      <xdr:colOff>7327</xdr:colOff>
      <xdr:row>29</xdr:row>
      <xdr:rowOff>171450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0" y="6638097"/>
          <a:ext cx="9475177" cy="2896428"/>
        </a:xfrm>
        <a:prstGeom prst="rect">
          <a:avLst/>
        </a:prstGeom>
        <a:solidFill>
          <a:schemeClr val="accent4">
            <a:lumMod val="20000"/>
            <a:lumOff val="80000"/>
          </a:schemeClr>
        </a:solidFill>
        <a:ln w="9525" cap="rnd" cmpd="sng">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t>Weitere Hinweise</a:t>
          </a:r>
        </a:p>
        <a:p>
          <a:endParaRPr lang="de-DE" sz="1100"/>
        </a:p>
        <a:p>
          <a:r>
            <a:rPr lang="de-DE" sz="1100" b="1"/>
            <a:t>1.) Dropdown-Felder:</a:t>
          </a:r>
          <a:r>
            <a:rPr lang="de-DE" sz="1100"/>
            <a:t> Die Felder "Schlüsselprojekt" und "Status" sind Dropdown-Felder. Wählen Sie dort aus den vorhandenen Textbausteinen aus.</a:t>
          </a:r>
        </a:p>
        <a:p>
          <a:endParaRPr lang="de-DE" sz="1100"/>
        </a:p>
        <a:p>
          <a:r>
            <a:rPr lang="de-DE" sz="1100" b="1"/>
            <a:t>2.) Schlüsselprojekt:</a:t>
          </a:r>
          <a:r>
            <a:rPr lang="de-DE" sz="1100"/>
            <a:t> Sie entscheiden selbst, ob eine Maßnahme ein Schlüsselprojekt ist, also eine Maßnahme, die Sie für besonders wirksam halten, um Ihre Klimaschutzziele zu erreichen. Maßgebliche Kriterien sind hierfür, ob die Maßnahme pädagogisch besonders wertvoll ist, besonders viel CO</a:t>
          </a:r>
          <a:r>
            <a:rPr lang="de-DE" sz="1100" baseline="-25000"/>
            <a:t>2</a:t>
          </a:r>
          <a:r>
            <a:rPr lang="de-DE" sz="1100"/>
            <a:t> einspart wird oder beides gleichzeitig.</a:t>
          </a:r>
        </a:p>
        <a:p>
          <a:endParaRPr lang="de-DE" sz="1100"/>
        </a:p>
        <a:p>
          <a:r>
            <a:rPr lang="de-DE" sz="1100" b="1"/>
            <a:t>3.) Geplante CO</a:t>
          </a:r>
          <a:r>
            <a:rPr lang="de-DE" sz="1100" b="1" baseline="-25000"/>
            <a:t>2</a:t>
          </a:r>
          <a:r>
            <a:rPr lang="de-DE" sz="1100" b="1"/>
            <a:t>-Reduktion: </a:t>
          </a:r>
          <a:r>
            <a:rPr lang="de-DE" sz="1100" b="0"/>
            <a:t>In diesen Spalten </a:t>
          </a:r>
          <a:r>
            <a:rPr lang="de-DE" sz="1100"/>
            <a:t>können nur selten CO</a:t>
          </a:r>
          <a:r>
            <a:rPr lang="de-DE" sz="1100" baseline="-25000"/>
            <a:t>2</a:t>
          </a:r>
          <a:r>
            <a:rPr lang="de-DE" sz="1100"/>
            <a:t>-Einsparungen angeben werden, da die Einsparungen</a:t>
          </a:r>
          <a:r>
            <a:rPr lang="de-DE" sz="1100" baseline="0"/>
            <a:t> für spezielle Maßnahmen meistens nicht </a:t>
          </a:r>
          <a:r>
            <a:rPr lang="de-DE" sz="1100"/>
            <a:t>beziffert werden können. Die meisten</a:t>
          </a:r>
          <a:r>
            <a:rPr lang="de-DE" sz="1100" baseline="0"/>
            <a:t> Felder werden also hier später leer sein. Rechts finden Sie bei den meisten Handlungsfeldern einen CO2-Einsparungsrechner, mit dem Sie für einzelne Maßnahemen die voraussichtliche Treibhausgaseinsparung berechnen können. Diese Werte können Sie in die Tabelle eintragen.</a:t>
          </a:r>
        </a:p>
        <a:p>
          <a:r>
            <a:rPr lang="de-DE" sz="1100"/>
            <a:t>In diesem Zusammenhang ist zu betonen, dass jede Klimaschutzmaßnahme wichtig ist, da diese zur Sensibilisierung und zur Entwicklung von Handlungskompetenzen beiträgt, sofern die Schulfamilie in die Umsetzung eingebunden wird. Dies kann</a:t>
          </a:r>
          <a:r>
            <a:rPr lang="de-DE" sz="1100" baseline="0"/>
            <a:t> </a:t>
          </a:r>
          <a:r>
            <a:rPr lang="de-DE" sz="1100"/>
            <a:t>mittel- bis langfristig </a:t>
          </a:r>
          <a:r>
            <a:rPr lang="de-DE" sz="1100" b="1"/>
            <a:t>zu großen indirekten </a:t>
          </a:r>
          <a:r>
            <a:rPr lang="de-DE" sz="1100" b="1">
              <a:solidFill>
                <a:schemeClr val="dk1"/>
              </a:solidFill>
              <a:effectLst/>
              <a:latin typeface="+mn-lt"/>
              <a:ea typeface="+mn-ea"/>
              <a:cs typeface="+mn-cs"/>
            </a:rPr>
            <a:t>CO</a:t>
          </a:r>
          <a:r>
            <a:rPr lang="de-DE" sz="1100" b="1" baseline="-25000">
              <a:solidFill>
                <a:schemeClr val="dk1"/>
              </a:solidFill>
              <a:effectLst/>
              <a:latin typeface="+mn-lt"/>
              <a:ea typeface="+mn-ea"/>
              <a:cs typeface="+mn-cs"/>
            </a:rPr>
            <a:t>2</a:t>
          </a:r>
          <a:r>
            <a:rPr lang="de-DE" sz="1100" b="1"/>
            <a:t>-Einsparungen</a:t>
          </a:r>
          <a:r>
            <a:rPr lang="de-DE" sz="1100"/>
            <a:t> in der </a:t>
          </a:r>
          <a:r>
            <a:rPr lang="de-DE" sz="1100" b="1"/>
            <a:t>CO</a:t>
          </a:r>
          <a:r>
            <a:rPr lang="de-DE" sz="1100" b="1" baseline="-25000"/>
            <a:t>2</a:t>
          </a:r>
          <a:r>
            <a:rPr lang="de-DE" sz="1100" b="1"/>
            <a:t>-Bilanz der Schule</a:t>
          </a:r>
          <a:r>
            <a:rPr lang="de-DE" sz="1100" baseline="0"/>
            <a:t>, aber auch im </a:t>
          </a:r>
          <a:r>
            <a:rPr lang="de-DE" sz="1100" b="1" baseline="0"/>
            <a:t>Umfeld der Schülerinnen und Schülern </a:t>
          </a:r>
          <a:r>
            <a:rPr lang="de-DE" sz="1100" baseline="0"/>
            <a:t>führen (Stichwort: Verhaltensänderung) und wird durch die erneute CO</a:t>
          </a:r>
          <a:r>
            <a:rPr lang="de-DE" sz="1100" baseline="-25000"/>
            <a:t>2</a:t>
          </a:r>
          <a:r>
            <a:rPr lang="de-DE" sz="1100" baseline="0"/>
            <a:t>-Bilanzierung mit dem CO</a:t>
          </a:r>
          <a:r>
            <a:rPr lang="de-DE" sz="1100" normalizeH="0" baseline="-25000"/>
            <a:t>2</a:t>
          </a:r>
          <a:r>
            <a:rPr lang="de-DE" sz="1100" baseline="0"/>
            <a:t>-Rechner der Klimaschule Bayern sichtbar werden.</a:t>
          </a:r>
          <a:endParaRPr lang="de-DE" sz="1100"/>
        </a:p>
      </xdr:txBody>
    </xdr:sp>
    <xdr:clientData/>
  </xdr:twoCellAnchor>
  <xdr:twoCellAnchor>
    <xdr:from>
      <xdr:col>12</xdr:col>
      <xdr:colOff>1146403</xdr:colOff>
      <xdr:row>1</xdr:row>
      <xdr:rowOff>47624</xdr:rowOff>
    </xdr:from>
    <xdr:to>
      <xdr:col>14</xdr:col>
      <xdr:colOff>1692390</xdr:colOff>
      <xdr:row>3</xdr:row>
      <xdr:rowOff>170088</xdr:rowOff>
    </xdr:to>
    <xdr:sp macro="" textlink="">
      <xdr:nvSpPr>
        <xdr:cNvPr id="7" name="Textfeld 6">
          <a:extLst>
            <a:ext uri="{FF2B5EF4-FFF2-40B4-BE49-F238E27FC236}">
              <a16:creationId xmlns:a16="http://schemas.microsoft.com/office/drawing/2014/main" id="{6651E059-FFCC-8294-36C5-D23CD442BE02}"/>
            </a:ext>
          </a:extLst>
        </xdr:cNvPr>
        <xdr:cNvSpPr txBox="1"/>
      </xdr:nvSpPr>
      <xdr:spPr>
        <a:xfrm>
          <a:off x="11385778" y="238124"/>
          <a:ext cx="5129893" cy="503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Abfall</a:t>
          </a:r>
          <a:r>
            <a:rPr lang="de-DE" sz="1600"/>
            <a:t> </a:t>
          </a:r>
        </a:p>
      </xdr:txBody>
    </xdr:sp>
    <xdr:clientData/>
  </xdr:twoCellAnchor>
  <xdr:twoCellAnchor>
    <xdr:from>
      <xdr:col>0</xdr:col>
      <xdr:colOff>47626</xdr:colOff>
      <xdr:row>30</xdr:row>
      <xdr:rowOff>169066</xdr:rowOff>
    </xdr:from>
    <xdr:to>
      <xdr:col>11</xdr:col>
      <xdr:colOff>0</xdr:colOff>
      <xdr:row>52</xdr:row>
      <xdr:rowOff>42242</xdr:rowOff>
    </xdr:to>
    <xdr:sp macro="" textlink="">
      <xdr:nvSpPr>
        <xdr:cNvPr id="3" name="Textfeld 2">
          <a:extLst>
            <a:ext uri="{FF2B5EF4-FFF2-40B4-BE49-F238E27FC236}">
              <a16:creationId xmlns:a16="http://schemas.microsoft.com/office/drawing/2014/main" id="{3399B89B-FCCD-D8C2-98F4-FD01CF73AF67}"/>
            </a:ext>
          </a:extLst>
        </xdr:cNvPr>
        <xdr:cNvSpPr txBox="1"/>
      </xdr:nvSpPr>
      <xdr:spPr>
        <a:xfrm>
          <a:off x="47626" y="9722641"/>
          <a:ext cx="9420224" cy="4064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Abfall</a:t>
          </a:r>
        </a:p>
        <a:p>
          <a:endParaRPr lang="de-DE" sz="900" baseline="0"/>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Aktion „müllfreies Pausenbrot“</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Aktion: Plastikfasten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Aktion: Ein Müllfreier Tag pro Monat</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Besichtigungen:</a:t>
          </a:r>
          <a:r>
            <a:rPr lang="de-DE" sz="1100" b="0" i="0" u="none" strike="noStrike" baseline="0">
              <a:solidFill>
                <a:schemeClr val="dk1"/>
              </a:solidFill>
              <a:effectLst/>
              <a:latin typeface="+mn-lt"/>
              <a:ea typeface="+mn-ea"/>
              <a:cs typeface="+mn-cs"/>
            </a:rPr>
            <a:t> Müllverbrennungsanlage, Sotieranlage, Recyclinghof, Recyclingbetrieb</a:t>
          </a:r>
          <a:endParaRPr lang="de-DE" sz="1100" b="0" i="0" u="none" strike="noStrike">
            <a:solidFill>
              <a:schemeClr val="dk1"/>
            </a:solidFill>
            <a:effectLst/>
            <a:latin typeface="+mn-lt"/>
            <a:ea typeface="+mn-ea"/>
            <a:cs typeface="+mn-cs"/>
          </a:endParaRP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Biomülltonne einführen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Druckerpatronen-Sammelaktion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Essensrestetonne einführen, z. B. für die Mensa</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Flohmarkt Handysammelaktion: Sammlung von Handys/Ladekabel etc. und Weitergabe an NABU</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Korksammelstelle einrichten (z.</a:t>
          </a:r>
          <a:r>
            <a:rPr lang="de-DE" sz="1100" b="0" i="0" u="none" strike="noStrike" baseline="0">
              <a:solidFill>
                <a:schemeClr val="dk1"/>
              </a:solidFill>
              <a:effectLst/>
              <a:latin typeface="+mn-lt"/>
              <a:ea typeface="+mn-ea"/>
              <a:cs typeface="+mn-cs"/>
            </a:rPr>
            <a:t> B. NABU-Korkkampagne)</a:t>
          </a:r>
          <a:endParaRPr lang="de-DE" sz="1100" b="0" i="0" u="none" strike="noStrike">
            <a:solidFill>
              <a:schemeClr val="dk1"/>
            </a:solidFill>
            <a:effectLst/>
            <a:latin typeface="+mn-lt"/>
            <a:ea typeface="+mn-ea"/>
            <a:cs typeface="+mn-cs"/>
          </a:endParaRP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Müllsammelaktionen mit einer oder mehreren Jahrgangstufen </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Mülltrennungssystem einführen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Müllvermeidungstraining für eine Jahrgangsstufe </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Müllanalyse </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Reparatur-Café</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Tauschregal (z.B. für alle Schulbücher, ...)</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Umsonstladen für Schulmaterialien: Angefangene Hefte und Blöcke, Stifte und gebrauchte Tafeln können kostenfrei mitgenommen werden.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Unterrichtseinheit zur korrekten Mülltrennung zur Sensibilisierung der Schülerinnen und Schüler</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Upcycling-Projekte</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Wachstücher herstellen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a:t>
          </a:r>
        </a:p>
        <a:p>
          <a:pPr marL="171450" indent="-171450" fontAlgn="ctr">
            <a:buFont typeface="Arial" panose="020B0604020202020204" pitchFamily="34" charset="0"/>
            <a:buChar char="•"/>
          </a:pPr>
          <a:endParaRPr lang="de-DE" sz="1100" b="0" i="0" u="none" strike="noStrike">
            <a:solidFill>
              <a:schemeClr val="dk1"/>
            </a:solidFill>
            <a:effectLst/>
            <a:latin typeface="+mn-lt"/>
            <a:ea typeface="+mn-ea"/>
            <a:cs typeface="+mn-cs"/>
          </a:endParaRPr>
        </a:p>
      </xdr:txBody>
    </xdr:sp>
    <xdr:clientData/>
  </xdr:twoCellAnchor>
  <xdr:twoCellAnchor editAs="oneCell">
    <xdr:from>
      <xdr:col>0</xdr:col>
      <xdr:colOff>327264</xdr:colOff>
      <xdr:row>53</xdr:row>
      <xdr:rowOff>61880</xdr:rowOff>
    </xdr:from>
    <xdr:to>
      <xdr:col>1</xdr:col>
      <xdr:colOff>943696</xdr:colOff>
      <xdr:row>58</xdr:row>
      <xdr:rowOff>97068</xdr:rowOff>
    </xdr:to>
    <xdr:pic>
      <xdr:nvPicPr>
        <xdr:cNvPr id="8" name="Grafik 7">
          <a:extLst>
            <a:ext uri="{FF2B5EF4-FFF2-40B4-BE49-F238E27FC236}">
              <a16:creationId xmlns:a16="http://schemas.microsoft.com/office/drawing/2014/main" id="{13C45CBA-806C-4AE4-93D2-8BADCAC677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20918923">
          <a:off x="327264" y="13996955"/>
          <a:ext cx="987907" cy="987688"/>
        </a:xfrm>
        <a:prstGeom prst="rect">
          <a:avLst/>
        </a:prstGeom>
      </xdr:spPr>
    </xdr:pic>
    <xdr:clientData/>
  </xdr:twoCellAnchor>
  <xdr:twoCellAnchor>
    <xdr:from>
      <xdr:col>1</xdr:col>
      <xdr:colOff>1267782</xdr:colOff>
      <xdr:row>53</xdr:row>
      <xdr:rowOff>70771</xdr:rowOff>
    </xdr:from>
    <xdr:to>
      <xdr:col>11</xdr:col>
      <xdr:colOff>1242</xdr:colOff>
      <xdr:row>58</xdr:row>
      <xdr:rowOff>40171</xdr:rowOff>
    </xdr:to>
    <xdr:sp macro="" textlink="">
      <xdr:nvSpPr>
        <xdr:cNvPr id="9" name="Rechteck: abgerundete Ecken 8">
          <a:extLst>
            <a:ext uri="{FF2B5EF4-FFF2-40B4-BE49-F238E27FC236}">
              <a16:creationId xmlns:a16="http://schemas.microsoft.com/office/drawing/2014/main" id="{CF9C4E67-3EF3-4051-A4B5-07C53FD6E2B3}"/>
            </a:ext>
          </a:extLst>
        </xdr:cNvPr>
        <xdr:cNvSpPr/>
      </xdr:nvSpPr>
      <xdr:spPr>
        <a:xfrm>
          <a:off x="1639257" y="14005846"/>
          <a:ext cx="7829835" cy="921900"/>
        </a:xfrm>
        <a:prstGeom prst="roundRect">
          <a:avLst>
            <a:gd name="adj" fmla="val 9474"/>
          </a:avLst>
        </a:prstGeom>
        <a:solidFill>
          <a:srgbClr val="AA2120"/>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editAs="oneCell">
    <xdr:from>
      <xdr:col>15</xdr:col>
      <xdr:colOff>981811</xdr:colOff>
      <xdr:row>4</xdr:row>
      <xdr:rowOff>329160</xdr:rowOff>
    </xdr:from>
    <xdr:to>
      <xdr:col>16</xdr:col>
      <xdr:colOff>33570</xdr:colOff>
      <xdr:row>4</xdr:row>
      <xdr:rowOff>1117656</xdr:rowOff>
    </xdr:to>
    <xdr:pic>
      <xdr:nvPicPr>
        <xdr:cNvPr id="10" name="Grafik 9">
          <a:extLst>
            <a:ext uri="{FF2B5EF4-FFF2-40B4-BE49-F238E27FC236}">
              <a16:creationId xmlns:a16="http://schemas.microsoft.com/office/drawing/2014/main" id="{7EE2BA2C-4E4D-4EBB-B7FA-354392FE58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20918923">
          <a:off x="17532899" y="1259248"/>
          <a:ext cx="788671" cy="788496"/>
        </a:xfrm>
        <a:prstGeom prst="rect">
          <a:avLst/>
        </a:prstGeom>
      </xdr:spPr>
    </xdr:pic>
    <xdr:clientData/>
  </xdr:twoCellAnchor>
  <xdr:twoCellAnchor>
    <xdr:from>
      <xdr:col>11</xdr:col>
      <xdr:colOff>744947</xdr:colOff>
      <xdr:row>4</xdr:row>
      <xdr:rowOff>340055</xdr:rowOff>
    </xdr:from>
    <xdr:to>
      <xdr:col>15</xdr:col>
      <xdr:colOff>700576</xdr:colOff>
      <xdr:row>4</xdr:row>
      <xdr:rowOff>1210235</xdr:rowOff>
    </xdr:to>
    <xdr:sp macro="" textlink="">
      <xdr:nvSpPr>
        <xdr:cNvPr id="11" name="Rechteck: abgerundete Ecken 10">
          <a:extLst>
            <a:ext uri="{FF2B5EF4-FFF2-40B4-BE49-F238E27FC236}">
              <a16:creationId xmlns:a16="http://schemas.microsoft.com/office/drawing/2014/main" id="{A5EC45A1-0B84-4A4A-A971-A5E898A49BFF}"/>
            </a:ext>
          </a:extLst>
        </xdr:cNvPr>
        <xdr:cNvSpPr/>
      </xdr:nvSpPr>
      <xdr:spPr>
        <a:xfrm>
          <a:off x="10236329" y="1270143"/>
          <a:ext cx="7015335" cy="870180"/>
        </a:xfrm>
        <a:prstGeom prst="roundRect">
          <a:avLst>
            <a:gd name="adj" fmla="val 9474"/>
          </a:avLst>
        </a:prstGeom>
        <a:solidFill>
          <a:srgbClr val="AA2120"/>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a:t>Für ausgewählte Maßnahmen können hier und in</a:t>
          </a:r>
          <a:r>
            <a:rPr lang="de-DE" sz="1100" baseline="0"/>
            <a:t> weitren Handlungsfeldern</a:t>
          </a:r>
          <a:r>
            <a:rPr lang="de-DE" sz="1100"/>
            <a:t> mögliche CO</a:t>
          </a:r>
          <a:r>
            <a:rPr lang="de-DE" sz="1100" baseline="-25000"/>
            <a:t>2</a:t>
          </a:r>
          <a:r>
            <a:rPr lang="de-DE" sz="1100"/>
            <a:t>-Einsparungen</a:t>
          </a:r>
          <a:r>
            <a:rPr lang="de-DE" sz="1100" baseline="0"/>
            <a:t> berechnet werden. Wählen Sie dazu in der Spalte "Maßnahme" per Dropdown eine geplante Maßnahme aus. Geben Sie in den folgenden Spalten den aktuellen Müllverbrauch und die geplante Einsparung in Prozent ein. Tragen Sie zuletzt den berechneten Einsparungswert in der linken Tabelle im Bereich "Geplante CO</a:t>
          </a:r>
          <a:r>
            <a:rPr lang="de-DE" sz="1100" baseline="-25000"/>
            <a:t>2</a:t>
          </a:r>
          <a:r>
            <a:rPr lang="de-DE" sz="1100" baseline="0"/>
            <a:t>-Reduktion" ein, z. B. bis 2025.</a:t>
          </a:r>
          <a:endParaRPr lang="de-DE" sz="1100"/>
        </a:p>
      </xdr:txBody>
    </xdr:sp>
    <xdr:clientData/>
  </xdr:twoCellAnchor>
  <xdr:twoCellAnchor editAs="oneCell">
    <xdr:from>
      <xdr:col>12</xdr:col>
      <xdr:colOff>47626</xdr:colOff>
      <xdr:row>0</xdr:row>
      <xdr:rowOff>107157</xdr:rowOff>
    </xdr:from>
    <xdr:to>
      <xdr:col>12</xdr:col>
      <xdr:colOff>925208</xdr:colOff>
      <xdr:row>4</xdr:row>
      <xdr:rowOff>158384</xdr:rowOff>
    </xdr:to>
    <xdr:pic>
      <xdr:nvPicPr>
        <xdr:cNvPr id="12" name="Grafik 11">
          <a:extLst>
            <a:ext uri="{FF2B5EF4-FFF2-40B4-BE49-F238E27FC236}">
              <a16:creationId xmlns:a16="http://schemas.microsoft.com/office/drawing/2014/main" id="{DE79181C-5B37-49C0-9DDE-D2BCD1A3C7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287001" y="107157"/>
          <a:ext cx="877582" cy="813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390700</xdr:colOff>
      <xdr:row>3</xdr:row>
      <xdr:rowOff>163805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04775"/>
          <a:ext cx="654225" cy="636934"/>
        </a:xfrm>
        <a:prstGeom prst="rect">
          <a:avLst/>
        </a:prstGeom>
      </xdr:spPr>
    </xdr:pic>
    <xdr:clientData/>
  </xdr:twoCellAnchor>
  <xdr:twoCellAnchor>
    <xdr:from>
      <xdr:col>1</xdr:col>
      <xdr:colOff>612589</xdr:colOff>
      <xdr:row>1</xdr:row>
      <xdr:rowOff>59419</xdr:rowOff>
    </xdr:from>
    <xdr:to>
      <xdr:col>8</xdr:col>
      <xdr:colOff>305147</xdr:colOff>
      <xdr:row>3</xdr:row>
      <xdr:rowOff>1789</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882464" y="249919"/>
          <a:ext cx="6121933"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Einkauf</a:t>
          </a:r>
        </a:p>
      </xdr:txBody>
    </xdr:sp>
    <xdr:clientData/>
  </xdr:twoCellAnchor>
  <xdr:twoCellAnchor>
    <xdr:from>
      <xdr:col>12</xdr:col>
      <xdr:colOff>1144700</xdr:colOff>
      <xdr:row>1</xdr:row>
      <xdr:rowOff>69736</xdr:rowOff>
    </xdr:from>
    <xdr:to>
      <xdr:col>14</xdr:col>
      <xdr:colOff>750093</xdr:colOff>
      <xdr:row>3</xdr:row>
      <xdr:rowOff>164986</xdr:rowOff>
    </xdr:to>
    <xdr:sp macro="" textlink="">
      <xdr:nvSpPr>
        <xdr:cNvPr id="5" name="Textfeld 4">
          <a:extLst>
            <a:ext uri="{FF2B5EF4-FFF2-40B4-BE49-F238E27FC236}">
              <a16:creationId xmlns:a16="http://schemas.microsoft.com/office/drawing/2014/main" id="{3933921F-9B8C-8C4F-9AC0-DFF5F7D980F8}"/>
            </a:ext>
          </a:extLst>
        </xdr:cNvPr>
        <xdr:cNvSpPr txBox="1"/>
      </xdr:nvSpPr>
      <xdr:spPr>
        <a:xfrm>
          <a:off x="11384075" y="260236"/>
          <a:ext cx="6630081"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Einkauf</a:t>
          </a:r>
          <a:r>
            <a:rPr lang="de-DE" sz="1600"/>
            <a:t> </a:t>
          </a:r>
        </a:p>
      </xdr:txBody>
    </xdr:sp>
    <xdr:clientData/>
  </xdr:twoCellAnchor>
  <xdr:twoCellAnchor>
    <xdr:from>
      <xdr:col>0</xdr:col>
      <xdr:colOff>94550</xdr:colOff>
      <xdr:row>13</xdr:row>
      <xdr:rowOff>236726</xdr:rowOff>
    </xdr:from>
    <xdr:to>
      <xdr:col>10</xdr:col>
      <xdr:colOff>701768</xdr:colOff>
      <xdr:row>27</xdr:row>
      <xdr:rowOff>125017</xdr:rowOff>
    </xdr:to>
    <xdr:sp macro="" textlink="">
      <xdr:nvSpPr>
        <xdr:cNvPr id="6" name="Textfeld 5">
          <a:extLst>
            <a:ext uri="{FF2B5EF4-FFF2-40B4-BE49-F238E27FC236}">
              <a16:creationId xmlns:a16="http://schemas.microsoft.com/office/drawing/2014/main" id="{1EBF97E7-64F5-4CA4-97C1-F84606A3D3D8}"/>
            </a:ext>
          </a:extLst>
        </xdr:cNvPr>
        <xdr:cNvSpPr txBox="1"/>
      </xdr:nvSpPr>
      <xdr:spPr>
        <a:xfrm>
          <a:off x="94550" y="5469523"/>
          <a:ext cx="9298781" cy="2805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Einkauf</a:t>
          </a:r>
        </a:p>
        <a:p>
          <a:endParaRPr lang="de-DE" sz="900" baseline="0"/>
        </a:p>
        <a:p>
          <a:pPr marL="171450" indent="-171450">
            <a:buFont typeface="Arial" panose="020B0604020202020204" pitchFamily="34" charset="0"/>
            <a:buChar char="•"/>
          </a:pPr>
          <a:r>
            <a:rPr lang="de-DE" sz="1100">
              <a:solidFill>
                <a:schemeClr val="dk1"/>
              </a:solidFill>
              <a:effectLst/>
              <a:latin typeface="+mn-lt"/>
              <a:ea typeface="+mn-ea"/>
              <a:cs typeface="+mn-cs"/>
            </a:rPr>
            <a:t>Bücherbasar</a:t>
          </a:r>
        </a:p>
        <a:p>
          <a:pPr marL="171450" indent="-171450">
            <a:buFont typeface="Arial" panose="020B0604020202020204" pitchFamily="34" charset="0"/>
            <a:buChar char="•"/>
          </a:pPr>
          <a:r>
            <a:rPr lang="de-DE" sz="1100">
              <a:solidFill>
                <a:schemeClr val="dk1"/>
              </a:solidFill>
              <a:effectLst/>
              <a:latin typeface="+mn-lt"/>
              <a:ea typeface="+mn-ea"/>
              <a:cs typeface="+mn-cs"/>
            </a:rPr>
            <a:t>Fast-Fashion: Unterrichtsprojekt zur Sensibilisierung für das nachhaltigen Kleiderkonsum</a:t>
          </a:r>
        </a:p>
        <a:p>
          <a:pPr marL="171450" indent="-171450">
            <a:buFont typeface="Arial" panose="020B0604020202020204" pitchFamily="34" charset="0"/>
            <a:buChar char="•"/>
          </a:pPr>
          <a:r>
            <a:rPr lang="de-DE" sz="1100">
              <a:solidFill>
                <a:schemeClr val="dk1"/>
              </a:solidFill>
              <a:effectLst/>
              <a:latin typeface="+mn-lt"/>
              <a:ea typeface="+mn-ea"/>
              <a:cs typeface="+mn-cs"/>
            </a:rPr>
            <a:t>Kleiderkreisel</a:t>
          </a:r>
        </a:p>
        <a:p>
          <a:pPr marL="171450" indent="-171450">
            <a:buFont typeface="Arial" panose="020B0604020202020204" pitchFamily="34" charset="0"/>
            <a:buChar char="•"/>
          </a:pPr>
          <a:r>
            <a:rPr lang="de-DE" sz="1100">
              <a:solidFill>
                <a:schemeClr val="dk1"/>
              </a:solidFill>
              <a:effectLst/>
              <a:latin typeface="+mn-lt"/>
              <a:ea typeface="+mn-ea"/>
              <a:cs typeface="+mn-cs"/>
            </a:rPr>
            <a:t>Kopierpapier: Umstellung auf Recyclingpapier mit blauem Engel</a:t>
          </a:r>
        </a:p>
        <a:p>
          <a:pPr marL="171450" indent="-171450">
            <a:buFont typeface="Arial" panose="020B0604020202020204" pitchFamily="34" charset="0"/>
            <a:buChar char="•"/>
          </a:pPr>
          <a:r>
            <a:rPr lang="de-DE" sz="1100">
              <a:solidFill>
                <a:schemeClr val="dk1"/>
              </a:solidFill>
              <a:effectLst/>
              <a:latin typeface="+mn-lt"/>
              <a:ea typeface="+mn-ea"/>
              <a:cs typeface="+mn-cs"/>
            </a:rPr>
            <a:t>Nachhaltige Gebrauchs- und Verbrauchsmittel im laufenden Schulbetrieb (z. B. Reinigungsmittel, </a:t>
          </a:r>
        </a:p>
        <a:p>
          <a:pPr marL="171450" indent="-171450">
            <a:buFont typeface="Arial" panose="020B0604020202020204" pitchFamily="34" charset="0"/>
            <a:buChar char="•"/>
          </a:pPr>
          <a:r>
            <a:rPr lang="de-DE" sz="1100">
              <a:solidFill>
                <a:schemeClr val="dk1"/>
              </a:solidFill>
              <a:effectLst/>
              <a:latin typeface="+mn-lt"/>
              <a:ea typeface="+mn-ea"/>
              <a:cs typeface="+mn-cs"/>
            </a:rPr>
            <a:t>Organisation eines Hefteverkaufs zum Schuljahresanfang für alle Jahrgangsstufen</a:t>
          </a:r>
        </a:p>
        <a:p>
          <a:pPr marL="171450" indent="-171450">
            <a:buFont typeface="Arial" panose="020B0604020202020204" pitchFamily="34" charset="0"/>
            <a:buChar char="•"/>
          </a:pPr>
          <a:r>
            <a:rPr lang="de-DE" sz="1100">
              <a:solidFill>
                <a:schemeClr val="dk1"/>
              </a:solidFill>
              <a:effectLst/>
              <a:latin typeface="+mn-lt"/>
              <a:ea typeface="+mn-ea"/>
              <a:cs typeface="+mn-cs"/>
            </a:rPr>
            <a:t>Papierprodukte insgesamt auf Recyclingpapier umstellen</a:t>
          </a:r>
        </a:p>
        <a:p>
          <a:pPr marL="171450" indent="-171450">
            <a:buFont typeface="Arial" panose="020B0604020202020204" pitchFamily="34" charset="0"/>
            <a:buChar char="•"/>
          </a:pPr>
          <a:r>
            <a:rPr lang="de-DE" sz="1100">
              <a:solidFill>
                <a:schemeClr val="dk1"/>
              </a:solidFill>
              <a:effectLst/>
              <a:latin typeface="+mn-lt"/>
              <a:ea typeface="+mn-ea"/>
              <a:cs typeface="+mn-cs"/>
            </a:rPr>
            <a:t>Schulflohmarkt organisieren</a:t>
          </a:r>
        </a:p>
        <a:p>
          <a:pPr marL="171450" indent="-171450">
            <a:buFont typeface="Arial" panose="020B0604020202020204" pitchFamily="34" charset="0"/>
            <a:buChar char="•"/>
          </a:pPr>
          <a:r>
            <a:rPr lang="de-DE" sz="1100">
              <a:solidFill>
                <a:schemeClr val="dk1"/>
              </a:solidFill>
              <a:effectLst/>
              <a:latin typeface="+mn-lt"/>
              <a:ea typeface="+mn-ea"/>
              <a:cs typeface="+mn-cs"/>
            </a:rPr>
            <a:t>Secondhand Tauschbörse</a:t>
          </a:r>
        </a:p>
        <a:p>
          <a:pPr marL="171450" indent="-171450">
            <a:buFont typeface="Arial" panose="020B0604020202020204" pitchFamily="34" charset="0"/>
            <a:buChar char="•"/>
          </a:pPr>
          <a:r>
            <a:rPr lang="de-DE" sz="1100">
              <a:solidFill>
                <a:schemeClr val="dk1"/>
              </a:solidFill>
              <a:effectLst/>
              <a:latin typeface="+mn-lt"/>
              <a:ea typeface="+mn-ea"/>
              <a:cs typeface="+mn-cs"/>
            </a:rPr>
            <a:t>Tauschbrett einführen</a:t>
          </a:r>
        </a:p>
        <a:p>
          <a:pPr marL="171450" indent="-171450">
            <a:buFont typeface="Arial" panose="020B0604020202020204" pitchFamily="34" charset="0"/>
            <a:buChar char="•"/>
          </a:pPr>
          <a:r>
            <a:rPr lang="de-DE" sz="1100">
              <a:solidFill>
                <a:schemeClr val="dk1"/>
              </a:solidFill>
              <a:effectLst/>
              <a:latin typeface="+mn-lt"/>
              <a:ea typeface="+mn-ea"/>
              <a:cs typeface="+mn-cs"/>
            </a:rPr>
            <a:t>Verkauf von Fairtradeprodukten, wie</a:t>
          </a:r>
          <a:r>
            <a:rPr lang="de-DE" sz="1100" baseline="0">
              <a:solidFill>
                <a:schemeClr val="dk1"/>
              </a:solidFill>
              <a:effectLst/>
              <a:latin typeface="+mn-lt"/>
              <a:ea typeface="+mn-ea"/>
              <a:cs typeface="+mn-cs"/>
            </a:rPr>
            <a:t> z. B. Kaffee, Mangos, Schokolade, Tee, Schulkleidung, ... . Hinweis: Achten Sie bei den Produkten darauf, ob es regionale oder überregionale Alternativen gibt. Honig von heimischen Imkereien sind z. B. fairem Honig von einem anderen Kontinent vorzuziehen. </a:t>
          </a:r>
        </a:p>
        <a:p>
          <a:pPr marL="171450" indent="-171450">
            <a:buFont typeface="Arial" panose="020B0604020202020204" pitchFamily="34" charset="0"/>
            <a:buChar char="•"/>
          </a:pPr>
          <a:r>
            <a:rPr lang="de-DE" sz="1100">
              <a:solidFill>
                <a:schemeClr val="dk1"/>
              </a:solidFill>
              <a:effectLst/>
              <a:latin typeface="+mn-lt"/>
              <a:ea typeface="+mn-ea"/>
              <a:cs typeface="+mn-cs"/>
            </a:rPr>
            <a:t>Wöchentlicher Hefte- und Blockverkauf mit ökologisch nachhaltigen Produkten (hierzu z. B. Gründung einer Schülerfirma)</a:t>
          </a:r>
        </a:p>
        <a:p>
          <a:endParaRPr lang="de-DE" sz="1600" baseline="0"/>
        </a:p>
        <a:p>
          <a:endParaRPr lang="de-DE" sz="1600" baseline="0"/>
        </a:p>
        <a:p>
          <a:r>
            <a:rPr lang="de-DE" sz="1600">
              <a:effectLst/>
            </a:rPr>
            <a:t> </a:t>
          </a:r>
          <a:endParaRPr lang="de-DE" sz="1600"/>
        </a:p>
      </xdr:txBody>
    </xdr:sp>
    <xdr:clientData/>
  </xdr:twoCellAnchor>
  <xdr:twoCellAnchor editAs="oneCell">
    <xdr:from>
      <xdr:col>0</xdr:col>
      <xdr:colOff>172991</xdr:colOff>
      <xdr:row>29</xdr:row>
      <xdr:rowOff>113459</xdr:rowOff>
    </xdr:from>
    <xdr:to>
      <xdr:col>1</xdr:col>
      <xdr:colOff>789423</xdr:colOff>
      <xdr:row>34</xdr:row>
      <xdr:rowOff>148647</xdr:rowOff>
    </xdr:to>
    <xdr:pic>
      <xdr:nvPicPr>
        <xdr:cNvPr id="7" name="Grafik 6">
          <a:extLst>
            <a:ext uri="{FF2B5EF4-FFF2-40B4-BE49-F238E27FC236}">
              <a16:creationId xmlns:a16="http://schemas.microsoft.com/office/drawing/2014/main" id="{BF28999C-DE21-412E-AEBD-0029301E72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20918923">
          <a:off x="172991" y="8629930"/>
          <a:ext cx="986226" cy="987688"/>
        </a:xfrm>
        <a:prstGeom prst="rect">
          <a:avLst/>
        </a:prstGeom>
      </xdr:spPr>
    </xdr:pic>
    <xdr:clientData/>
  </xdr:twoCellAnchor>
  <xdr:twoCellAnchor>
    <xdr:from>
      <xdr:col>1</xdr:col>
      <xdr:colOff>1113509</xdr:colOff>
      <xdr:row>29</xdr:row>
      <xdr:rowOff>122350</xdr:rowOff>
    </xdr:from>
    <xdr:to>
      <xdr:col>10</xdr:col>
      <xdr:colOff>631380</xdr:colOff>
      <xdr:row>34</xdr:row>
      <xdr:rowOff>91750</xdr:rowOff>
    </xdr:to>
    <xdr:sp macro="" textlink="">
      <xdr:nvSpPr>
        <xdr:cNvPr id="8" name="Rechteck: abgerundete Ecken 7">
          <a:extLst>
            <a:ext uri="{FF2B5EF4-FFF2-40B4-BE49-F238E27FC236}">
              <a16:creationId xmlns:a16="http://schemas.microsoft.com/office/drawing/2014/main" id="{0E543F1A-01B9-4F6D-908E-0B31912C51C1}"/>
            </a:ext>
          </a:extLst>
        </xdr:cNvPr>
        <xdr:cNvSpPr/>
      </xdr:nvSpPr>
      <xdr:spPr>
        <a:xfrm>
          <a:off x="1483303" y="8638821"/>
          <a:ext cx="7855048" cy="921900"/>
        </a:xfrm>
        <a:prstGeom prst="roundRect">
          <a:avLst>
            <a:gd name="adj" fmla="val 9474"/>
          </a:avLst>
        </a:prstGeom>
        <a:solidFill>
          <a:srgbClr val="455293"/>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editAs="oneCell">
    <xdr:from>
      <xdr:col>12</xdr:col>
      <xdr:colOff>47625</xdr:colOff>
      <xdr:row>0</xdr:row>
      <xdr:rowOff>107156</xdr:rowOff>
    </xdr:from>
    <xdr:to>
      <xdr:col>12</xdr:col>
      <xdr:colOff>925207</xdr:colOff>
      <xdr:row>4</xdr:row>
      <xdr:rowOff>158383</xdr:rowOff>
    </xdr:to>
    <xdr:pic>
      <xdr:nvPicPr>
        <xdr:cNvPr id="9" name="Grafik 8">
          <a:extLst>
            <a:ext uri="{FF2B5EF4-FFF2-40B4-BE49-F238E27FC236}">
              <a16:creationId xmlns:a16="http://schemas.microsoft.com/office/drawing/2014/main" id="{D4906890-DE8F-4101-BF6C-D158B091847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287000" y="107156"/>
          <a:ext cx="877582" cy="8132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370611</xdr:colOff>
      <xdr:row>3</xdr:row>
      <xdr:rowOff>164400</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4775" y="104775"/>
          <a:ext cx="637311" cy="631125"/>
        </a:xfrm>
        <a:prstGeom prst="rect">
          <a:avLst/>
        </a:prstGeom>
      </xdr:spPr>
    </xdr:pic>
    <xdr:clientData/>
  </xdr:twoCellAnchor>
  <xdr:twoCellAnchor>
    <xdr:from>
      <xdr:col>1</xdr:col>
      <xdr:colOff>472889</xdr:colOff>
      <xdr:row>1</xdr:row>
      <xdr:rowOff>62594</xdr:rowOff>
    </xdr:from>
    <xdr:to>
      <xdr:col>8</xdr:col>
      <xdr:colOff>155922</xdr:colOff>
      <xdr:row>3</xdr:row>
      <xdr:rowOff>4964</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844364" y="253094"/>
          <a:ext cx="6636283"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Ernährung</a:t>
          </a:r>
        </a:p>
      </xdr:txBody>
    </xdr:sp>
    <xdr:clientData/>
  </xdr:twoCellAnchor>
  <xdr:twoCellAnchor editAs="oneCell">
    <xdr:from>
      <xdr:col>12</xdr:col>
      <xdr:colOff>35719</xdr:colOff>
      <xdr:row>0</xdr:row>
      <xdr:rowOff>107154</xdr:rowOff>
    </xdr:from>
    <xdr:to>
      <xdr:col>12</xdr:col>
      <xdr:colOff>913301</xdr:colOff>
      <xdr:row>4</xdr:row>
      <xdr:rowOff>158381</xdr:rowOff>
    </xdr:to>
    <xdr:pic>
      <xdr:nvPicPr>
        <xdr:cNvPr id="2" name="Grafik 1">
          <a:extLst>
            <a:ext uri="{FF2B5EF4-FFF2-40B4-BE49-F238E27FC236}">
              <a16:creationId xmlns:a16="http://schemas.microsoft.com/office/drawing/2014/main" id="{F264DC1C-19E7-4AEB-B6F1-41DB29A737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75094" y="107154"/>
          <a:ext cx="877582" cy="813227"/>
        </a:xfrm>
        <a:prstGeom prst="rect">
          <a:avLst/>
        </a:prstGeom>
      </xdr:spPr>
    </xdr:pic>
    <xdr:clientData/>
  </xdr:twoCellAnchor>
  <xdr:twoCellAnchor>
    <xdr:from>
      <xdr:col>12</xdr:col>
      <xdr:colOff>1137196</xdr:colOff>
      <xdr:row>1</xdr:row>
      <xdr:rowOff>25512</xdr:rowOff>
    </xdr:from>
    <xdr:to>
      <xdr:col>14</xdr:col>
      <xdr:colOff>989119</xdr:colOff>
      <xdr:row>4</xdr:row>
      <xdr:rowOff>8703</xdr:rowOff>
    </xdr:to>
    <xdr:sp macro="" textlink="">
      <xdr:nvSpPr>
        <xdr:cNvPr id="4" name="Textfeld 3">
          <a:extLst>
            <a:ext uri="{FF2B5EF4-FFF2-40B4-BE49-F238E27FC236}">
              <a16:creationId xmlns:a16="http://schemas.microsoft.com/office/drawing/2014/main" id="{E300158F-DE15-43E8-974A-C6AE7B9D4E65}"/>
            </a:ext>
          </a:extLst>
        </xdr:cNvPr>
        <xdr:cNvSpPr txBox="1"/>
      </xdr:nvSpPr>
      <xdr:spPr>
        <a:xfrm>
          <a:off x="11376571" y="216012"/>
          <a:ext cx="7305236" cy="554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Ernährung</a:t>
          </a:r>
          <a:endParaRPr lang="de-DE" sz="1600"/>
        </a:p>
      </xdr:txBody>
    </xdr:sp>
    <xdr:clientData/>
  </xdr:twoCellAnchor>
  <xdr:twoCellAnchor>
    <xdr:from>
      <xdr:col>0</xdr:col>
      <xdr:colOff>0</xdr:colOff>
      <xdr:row>14</xdr:row>
      <xdr:rowOff>190499</xdr:rowOff>
    </xdr:from>
    <xdr:to>
      <xdr:col>10</xdr:col>
      <xdr:colOff>693964</xdr:colOff>
      <xdr:row>45</xdr:row>
      <xdr:rowOff>14654</xdr:rowOff>
    </xdr:to>
    <xdr:sp macro="" textlink="">
      <xdr:nvSpPr>
        <xdr:cNvPr id="7" name="Textfeld 6">
          <a:extLst>
            <a:ext uri="{FF2B5EF4-FFF2-40B4-BE49-F238E27FC236}">
              <a16:creationId xmlns:a16="http://schemas.microsoft.com/office/drawing/2014/main" id="{1ACB6D14-5055-4047-A431-717864A21B08}"/>
            </a:ext>
          </a:extLst>
        </xdr:cNvPr>
        <xdr:cNvSpPr txBox="1"/>
      </xdr:nvSpPr>
      <xdr:spPr>
        <a:xfrm>
          <a:off x="0" y="5883087"/>
          <a:ext cx="9468170" cy="5729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Ernährung</a:t>
          </a:r>
        </a:p>
        <a:p>
          <a:endParaRPr lang="de-DE" sz="900" baseline="0"/>
        </a:p>
        <a:p>
          <a:pPr marL="171450" lvl="0" indent="-171450">
            <a:buFont typeface="Arial" panose="020B0604020202020204" pitchFamily="34" charset="0"/>
            <a:buChar char="•"/>
          </a:pPr>
          <a:r>
            <a:rPr lang="de-DE" sz="1100">
              <a:solidFill>
                <a:schemeClr val="dk1"/>
              </a:solidFill>
              <a:effectLst/>
              <a:latin typeface="+mn-lt"/>
              <a:ea typeface="+mn-ea"/>
              <a:cs typeface="+mn-cs"/>
            </a:rPr>
            <a:t>Besuch eines Bauernhofs (Milchwirtschaft, Gemüseanbau)</a:t>
          </a:r>
        </a:p>
        <a:p>
          <a:pPr marL="171450" lvl="0" indent="-171450">
            <a:buFont typeface="Arial" panose="020B0604020202020204" pitchFamily="34" charset="0"/>
            <a:buChar char="•"/>
          </a:pPr>
          <a:r>
            <a:rPr lang="de-DE" sz="1100">
              <a:solidFill>
                <a:schemeClr val="dk1"/>
              </a:solidFill>
              <a:effectLst/>
              <a:latin typeface="+mn-lt"/>
              <a:ea typeface="+mn-ea"/>
              <a:cs typeface="+mn-cs"/>
            </a:rPr>
            <a:t>Bio- und Fairtrade-Kaffee im Lehrerzimmer und im Schulbetrieb</a:t>
          </a:r>
        </a:p>
        <a:p>
          <a:pPr marL="171450" lvl="0" indent="-171450">
            <a:buFont typeface="Arial" panose="020B0604020202020204" pitchFamily="34" charset="0"/>
            <a:buChar char="•"/>
          </a:pPr>
          <a:r>
            <a:rPr lang="de-DE" sz="1100">
              <a:solidFill>
                <a:schemeClr val="dk1"/>
              </a:solidFill>
              <a:effectLst/>
              <a:latin typeface="+mn-lt"/>
              <a:ea typeface="+mn-ea"/>
              <a:cs typeface="+mn-cs"/>
            </a:rPr>
            <a:t>Einführung des Konzepts “Ein guter Tag hat 100 Punkte“ im Unterricht ()</a:t>
          </a:r>
        </a:p>
        <a:p>
          <a:pPr marL="171450" lvl="0" indent="-171450">
            <a:buFont typeface="Arial" panose="020B0604020202020204" pitchFamily="34" charset="0"/>
            <a:buChar char="•"/>
          </a:pPr>
          <a:r>
            <a:rPr lang="de-DE" sz="1100">
              <a:solidFill>
                <a:schemeClr val="dk1"/>
              </a:solidFill>
              <a:effectLst/>
              <a:latin typeface="+mn-lt"/>
              <a:ea typeface="+mn-ea"/>
              <a:cs typeface="+mn-cs"/>
            </a:rPr>
            <a:t>Ernährungsführerschein</a:t>
          </a:r>
        </a:p>
        <a:p>
          <a:pPr marL="171450" lvl="0" indent="-171450">
            <a:buFont typeface="Arial" panose="020B0604020202020204" pitchFamily="34" charset="0"/>
            <a:buChar char="•"/>
          </a:pPr>
          <a:r>
            <a:rPr lang="de-DE" sz="1100">
              <a:solidFill>
                <a:schemeClr val="dk1"/>
              </a:solidFill>
              <a:effectLst/>
              <a:latin typeface="+mn-lt"/>
              <a:ea typeface="+mn-ea"/>
              <a:cs typeface="+mn-cs"/>
            </a:rPr>
            <a:t>Ernährungstagebuch – Schülerinnen und Schüler erfassen ihre fleischfreien Tage</a:t>
          </a:r>
        </a:p>
        <a:p>
          <a:pPr marL="171450" lvl="0" indent="-171450">
            <a:buFont typeface="Arial" panose="020B0604020202020204" pitchFamily="34" charset="0"/>
            <a:buChar char="•"/>
          </a:pPr>
          <a:r>
            <a:rPr lang="de-DE" sz="1100">
              <a:solidFill>
                <a:schemeClr val="dk1"/>
              </a:solidFill>
              <a:effectLst/>
              <a:latin typeface="+mn-lt"/>
              <a:ea typeface="+mn-ea"/>
              <a:cs typeface="+mn-cs"/>
            </a:rPr>
            <a:t>Expertenvorträge zum Thema Klimawandel und Ernährung</a:t>
          </a:r>
        </a:p>
        <a:p>
          <a:pPr marL="171450" lvl="0" indent="-171450">
            <a:buFont typeface="Arial" panose="020B0604020202020204" pitchFamily="34" charset="0"/>
            <a:buChar char="•"/>
          </a:pPr>
          <a:r>
            <a:rPr lang="de-DE" sz="1100">
              <a:solidFill>
                <a:schemeClr val="dk1"/>
              </a:solidFill>
              <a:effectLst/>
              <a:latin typeface="+mn-lt"/>
              <a:ea typeface="+mn-ea"/>
              <a:cs typeface="+mn-cs"/>
            </a:rPr>
            <a:t>FairFriday: jeden Freitag gibt es nur faire Produkte im Pausenverkauf</a:t>
          </a:r>
        </a:p>
        <a:p>
          <a:pPr marL="171450" lvl="0" indent="-171450">
            <a:buFont typeface="Arial" panose="020B0604020202020204" pitchFamily="34" charset="0"/>
            <a:buChar char="•"/>
          </a:pPr>
          <a:r>
            <a:rPr lang="de-DE" sz="1100">
              <a:solidFill>
                <a:schemeClr val="dk1"/>
              </a:solidFill>
              <a:effectLst/>
              <a:latin typeface="+mn-lt"/>
              <a:ea typeface="+mn-ea"/>
              <a:cs typeface="+mn-cs"/>
            </a:rPr>
            <a:t>Fairomat – der stromlose Automat bietet faire (Bio)-Naschereien an.</a:t>
          </a:r>
        </a:p>
        <a:p>
          <a:pPr marL="171450" lvl="0" indent="-171450">
            <a:buFont typeface="Arial" panose="020B0604020202020204" pitchFamily="34" charset="0"/>
            <a:buChar char="•"/>
          </a:pPr>
          <a:r>
            <a:rPr lang="de-DE" sz="1100">
              <a:solidFill>
                <a:schemeClr val="dk1"/>
              </a:solidFill>
              <a:effectLst/>
              <a:latin typeface="+mn-lt"/>
              <a:ea typeface="+mn-ea"/>
              <a:cs typeface="+mn-cs"/>
            </a:rPr>
            <a:t>Klimadinner – ein klimafreundliches Abendessen</a:t>
          </a:r>
        </a:p>
        <a:p>
          <a:pPr marL="171450" lvl="0" indent="-171450">
            <a:buFont typeface="Arial" panose="020B0604020202020204" pitchFamily="34" charset="0"/>
            <a:buChar char="•"/>
          </a:pPr>
          <a:r>
            <a:rPr lang="de-DE" sz="1100">
              <a:solidFill>
                <a:schemeClr val="dk1"/>
              </a:solidFill>
              <a:effectLst/>
              <a:latin typeface="+mn-lt"/>
              <a:ea typeface="+mn-ea"/>
              <a:cs typeface="+mn-cs"/>
            </a:rPr>
            <a:t>Klimafrühstück</a:t>
          </a:r>
        </a:p>
        <a:p>
          <a:pPr marL="171450" lvl="0" indent="-171450">
            <a:buFont typeface="Arial" panose="020B0604020202020204" pitchFamily="34" charset="0"/>
            <a:buChar char="•"/>
          </a:pPr>
          <a:r>
            <a:rPr lang="de-DE" sz="1100">
              <a:solidFill>
                <a:schemeClr val="dk1"/>
              </a:solidFill>
              <a:effectLst/>
              <a:latin typeface="+mn-lt"/>
              <a:ea typeface="+mn-ea"/>
              <a:cs typeface="+mn-cs"/>
            </a:rPr>
            <a:t>Klimakochbuch gestalten</a:t>
          </a:r>
        </a:p>
        <a:p>
          <a:pPr marL="171450" lvl="0" indent="-171450">
            <a:buFont typeface="Arial" panose="020B0604020202020204" pitchFamily="34" charset="0"/>
            <a:buChar char="•"/>
          </a:pPr>
          <a:r>
            <a:rPr lang="de-DE" sz="1100">
              <a:solidFill>
                <a:schemeClr val="dk1"/>
              </a:solidFill>
              <a:effectLst/>
              <a:latin typeface="+mn-lt"/>
              <a:ea typeface="+mn-ea"/>
              <a:cs typeface="+mn-cs"/>
            </a:rPr>
            <a:t>Kräuterbrot-Tage: saisonale und regionale Alternativen zur Pausen-Wurstsemmel kennenlernen</a:t>
          </a:r>
        </a:p>
        <a:p>
          <a:pPr marL="171450" lvl="0" indent="-171450">
            <a:buFont typeface="Arial" panose="020B0604020202020204" pitchFamily="34" charset="0"/>
            <a:buChar char="•"/>
          </a:pPr>
          <a:r>
            <a:rPr lang="de-DE" sz="1100">
              <a:solidFill>
                <a:schemeClr val="dk1"/>
              </a:solidFill>
              <a:effectLst/>
              <a:latin typeface="+mn-lt"/>
              <a:ea typeface="+mn-ea"/>
              <a:cs typeface="+mn-cs"/>
            </a:rPr>
            <a:t>Lebensmittel retten: "Zu gut für die Tonne" </a:t>
          </a:r>
        </a:p>
        <a:p>
          <a:pPr marL="171450" lvl="0" indent="-171450">
            <a:buFont typeface="Arial" panose="020B0604020202020204" pitchFamily="34" charset="0"/>
            <a:buChar char="•"/>
          </a:pPr>
          <a:r>
            <a:rPr lang="de-DE" sz="1100">
              <a:solidFill>
                <a:schemeClr val="dk1"/>
              </a:solidFill>
              <a:effectLst/>
              <a:latin typeface="+mn-lt"/>
              <a:ea typeface="+mn-ea"/>
              <a:cs typeface="+mn-cs"/>
            </a:rPr>
            <a:t>Lebensmittel retten: „To good to go“ (toogoodtogo.de/de)</a:t>
          </a:r>
        </a:p>
        <a:p>
          <a:pPr marL="171450" lvl="0" indent="-171450">
            <a:buFont typeface="Arial" panose="020B0604020202020204" pitchFamily="34" charset="0"/>
            <a:buChar char="•"/>
          </a:pPr>
          <a:r>
            <a:rPr lang="de-DE" sz="1100">
              <a:solidFill>
                <a:schemeClr val="dk1"/>
              </a:solidFill>
              <a:effectLst/>
              <a:latin typeface="+mn-lt"/>
              <a:ea typeface="+mn-ea"/>
              <a:cs typeface="+mn-cs"/>
            </a:rPr>
            <a:t>Pausenverkauf: Backwaren und Getränke aus der Region, Verwendung von Mehrwegflaschen mit Pfandautomat</a:t>
          </a:r>
        </a:p>
        <a:p>
          <a:pPr marL="171450" lvl="0" indent="-171450">
            <a:buFont typeface="Arial" panose="020B0604020202020204" pitchFamily="34" charset="0"/>
            <a:buChar char="•"/>
          </a:pPr>
          <a:r>
            <a:rPr lang="de-DE" sz="1100">
              <a:solidFill>
                <a:schemeClr val="dk1"/>
              </a:solidFill>
              <a:effectLst/>
              <a:latin typeface="+mn-lt"/>
              <a:ea typeface="+mn-ea"/>
              <a:cs typeface="+mn-cs"/>
            </a:rPr>
            <a:t>Schülerbistro: Mehrwegbecher verwenden</a:t>
          </a:r>
        </a:p>
        <a:p>
          <a:pPr marL="171450" lvl="0" indent="-171450">
            <a:buFont typeface="Arial" panose="020B0604020202020204" pitchFamily="34" charset="0"/>
            <a:buChar char="•"/>
          </a:pPr>
          <a:r>
            <a:rPr lang="de-DE" sz="1100">
              <a:solidFill>
                <a:schemeClr val="dk1"/>
              </a:solidFill>
              <a:effectLst/>
              <a:latin typeface="+mn-lt"/>
              <a:ea typeface="+mn-ea"/>
              <a:cs typeface="+mn-cs"/>
            </a:rPr>
            <a:t>Schulimkerei – Schule besitzt Bienenvolk, der Honig wird an der Schule verkauft (Regionaler Honig)</a:t>
          </a:r>
        </a:p>
        <a:p>
          <a:pPr marL="171450" lvl="0" indent="-171450">
            <a:buFont typeface="Arial" panose="020B0604020202020204" pitchFamily="34" charset="0"/>
            <a:buChar char="•"/>
          </a:pPr>
          <a:r>
            <a:rPr lang="de-DE" sz="1100">
              <a:solidFill>
                <a:schemeClr val="dk1"/>
              </a:solidFill>
              <a:effectLst/>
              <a:latin typeface="+mn-lt"/>
              <a:ea typeface="+mn-ea"/>
              <a:cs typeface="+mn-cs"/>
            </a:rPr>
            <a:t>Schulverpflegung: Bioprodukte verwenden</a:t>
          </a:r>
        </a:p>
        <a:p>
          <a:pPr marL="171450" lvl="0" indent="-171450">
            <a:buFont typeface="Arial" panose="020B0604020202020204" pitchFamily="34" charset="0"/>
            <a:buChar char="•"/>
          </a:pPr>
          <a:r>
            <a:rPr lang="de-DE" sz="1100">
              <a:solidFill>
                <a:schemeClr val="dk1"/>
              </a:solidFill>
              <a:effectLst/>
              <a:latin typeface="+mn-lt"/>
              <a:ea typeface="+mn-ea"/>
              <a:cs typeface="+mn-cs"/>
            </a:rPr>
            <a:t>Schulverpflegung: regionale und saisonale Produkte verwenden</a:t>
          </a:r>
        </a:p>
        <a:p>
          <a:pPr marL="171450" lvl="0" indent="-171450">
            <a:buFont typeface="Arial" panose="020B0604020202020204" pitchFamily="34" charset="0"/>
            <a:buChar char="•"/>
          </a:pPr>
          <a:r>
            <a:rPr lang="de-DE" sz="1100">
              <a:solidFill>
                <a:schemeClr val="dk1"/>
              </a:solidFill>
              <a:effectLst/>
              <a:latin typeface="+mn-lt"/>
              <a:ea typeface="+mn-ea"/>
              <a:cs typeface="+mn-cs"/>
            </a:rPr>
            <a:t>Schulverpflegung: Vegetarische Tage einführen</a:t>
          </a:r>
        </a:p>
        <a:p>
          <a:pPr marL="171450" lvl="0" indent="-171450">
            <a:buFont typeface="Arial" panose="020B0604020202020204" pitchFamily="34" charset="0"/>
            <a:buChar char="•"/>
          </a:pPr>
          <a:r>
            <a:rPr lang="de-DE" sz="1100">
              <a:solidFill>
                <a:schemeClr val="dk1"/>
              </a:solidFill>
              <a:effectLst/>
              <a:latin typeface="+mn-lt"/>
              <a:ea typeface="+mn-ea"/>
              <a:cs typeface="+mn-cs"/>
            </a:rPr>
            <a:t>Trinkwasserbrunnen zur Wiederzubefüllung von Trinkwasserflaschen</a:t>
          </a:r>
        </a:p>
        <a:p>
          <a:pPr marL="171450" lvl="0" indent="-171450">
            <a:buFont typeface="Arial" panose="020B0604020202020204" pitchFamily="34" charset="0"/>
            <a:buChar char="•"/>
          </a:pPr>
          <a:r>
            <a:rPr lang="de-DE" sz="1100">
              <a:solidFill>
                <a:schemeClr val="dk1"/>
              </a:solidFill>
              <a:effectLst/>
              <a:latin typeface="+mn-lt"/>
              <a:ea typeface="+mn-ea"/>
              <a:cs typeface="+mn-cs"/>
            </a:rPr>
            <a:t>Urban Gardening: Bewirtschaftung und Nutzung des Schulgartens, Verwendung der Produkte in der Mensa</a:t>
          </a:r>
        </a:p>
        <a:p>
          <a:pPr marL="171450" lvl="0" indent="-171450">
            <a:buFont typeface="Arial" panose="020B0604020202020204" pitchFamily="34" charset="0"/>
            <a:buChar char="•"/>
          </a:pPr>
          <a:r>
            <a:rPr lang="de-DE" sz="1100">
              <a:solidFill>
                <a:schemeClr val="dk1"/>
              </a:solidFill>
              <a:effectLst/>
              <a:latin typeface="+mn-lt"/>
              <a:ea typeface="+mn-ea"/>
              <a:cs typeface="+mn-cs"/>
            </a:rPr>
            <a:t>Vegetarisches Kochbuch gestalten</a:t>
          </a:r>
        </a:p>
        <a:p>
          <a:pPr marL="171450" lvl="0" indent="-171450">
            <a:buFont typeface="Arial" panose="020B0604020202020204" pitchFamily="34" charset="0"/>
            <a:buChar char="•"/>
          </a:pPr>
          <a:r>
            <a:rPr lang="de-DE" sz="1100">
              <a:solidFill>
                <a:schemeClr val="dk1"/>
              </a:solidFill>
              <a:effectLst/>
              <a:latin typeface="+mn-lt"/>
              <a:ea typeface="+mn-ea"/>
              <a:cs typeface="+mn-cs"/>
            </a:rPr>
            <a:t>Veggie-Day/-Pausen: Durchführung eines regelmäßig stattfindenden eines/r fleischfreien Tages / Pause mit regionalen, saisonalen und fair gehandelten Produkten (sowohl Zwischenpausen als auch Mittagsverpflegung)</a:t>
          </a:r>
        </a:p>
        <a:p>
          <a:pPr marL="171450" lvl="0" indent="-171450">
            <a:buFont typeface="Arial" panose="020B0604020202020204" pitchFamily="34" charset="0"/>
            <a:buChar char="•"/>
          </a:pPr>
          <a:r>
            <a:rPr lang="de-DE" sz="1100">
              <a:solidFill>
                <a:schemeClr val="dk1"/>
              </a:solidFill>
              <a:effectLst/>
              <a:latin typeface="+mn-lt"/>
              <a:ea typeface="+mn-ea"/>
              <a:cs typeface="+mn-cs"/>
            </a:rPr>
            <a:t>W- und P-Seminare zum Thema nachhaltige Ernährung</a:t>
          </a:r>
        </a:p>
        <a:p>
          <a:pPr marL="171450" lvl="0" indent="-171450">
            <a:buFont typeface="Arial" panose="020B0604020202020204" pitchFamily="34" charset="0"/>
            <a:buChar char="•"/>
          </a:pPr>
          <a:r>
            <a:rPr lang="de-DE" sz="1100">
              <a:solidFill>
                <a:schemeClr val="dk1"/>
              </a:solidFill>
              <a:effectLst/>
              <a:latin typeface="+mn-lt"/>
              <a:ea typeface="+mn-ea"/>
              <a:cs typeface="+mn-cs"/>
            </a:rPr>
            <a:t>Weltacker in der Schule gestalten: Selbstersteller Weltacker in kleinerem Maßstab als Ausstellung konzipiert: Klimascouts der 10.Klassen führen die 7.Klassen. (https://www.2000m2.eu/de/)</a:t>
          </a:r>
        </a:p>
        <a:p>
          <a:pPr marL="171450" lvl="0" indent="-171450">
            <a:buFont typeface="Arial" panose="020B0604020202020204" pitchFamily="34" charset="0"/>
            <a:buChar char="•"/>
          </a:pPr>
          <a:r>
            <a:rPr lang="de-DE" sz="1100">
              <a:solidFill>
                <a:schemeClr val="dk1"/>
              </a:solidFill>
              <a:effectLst/>
              <a:latin typeface="+mn-lt"/>
              <a:ea typeface="+mn-ea"/>
              <a:cs typeface="+mn-cs"/>
            </a:rPr>
            <a:t>Workshops durchführen, z. B. "Mahlzeit for Future" zur Sensibilisierung der Schülerinnen und Schüler hinsichtlich einer klimafreundlichen Ernährung</a:t>
          </a:r>
        </a:p>
        <a:p>
          <a:pPr marL="171450" lvl="0" indent="-171450">
            <a:buFont typeface="Arial" panose="020B0604020202020204" pitchFamily="34" charset="0"/>
            <a:buChar char="•"/>
          </a:pPr>
          <a:r>
            <a:rPr lang="de-DE" sz="1100">
              <a:solidFill>
                <a:schemeClr val="dk1"/>
              </a:solidFill>
              <a:effectLst/>
              <a:latin typeface="+mn-lt"/>
              <a:ea typeface="+mn-ea"/>
              <a:cs typeface="+mn-cs"/>
            </a:rPr>
            <a:t>...</a:t>
          </a:r>
        </a:p>
        <a:p>
          <a:endParaRPr lang="de-DE" sz="1600" baseline="0"/>
        </a:p>
      </xdr:txBody>
    </xdr:sp>
    <xdr:clientData/>
  </xdr:twoCellAnchor>
  <xdr:twoCellAnchor editAs="oneCell">
    <xdr:from>
      <xdr:col>0</xdr:col>
      <xdr:colOff>239695</xdr:colOff>
      <xdr:row>46</xdr:row>
      <xdr:rowOff>68035</xdr:rowOff>
    </xdr:from>
    <xdr:to>
      <xdr:col>1</xdr:col>
      <xdr:colOff>860209</xdr:colOff>
      <xdr:row>51</xdr:row>
      <xdr:rowOff>103223</xdr:rowOff>
    </xdr:to>
    <xdr:pic>
      <xdr:nvPicPr>
        <xdr:cNvPr id="5" name="Grafik 4">
          <a:extLst>
            <a:ext uri="{FF2B5EF4-FFF2-40B4-BE49-F238E27FC236}">
              <a16:creationId xmlns:a16="http://schemas.microsoft.com/office/drawing/2014/main" id="{C38EDEAF-8FD8-4A43-A699-F0D240BBF4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239695" y="11871708"/>
          <a:ext cx="994187" cy="987688"/>
        </a:xfrm>
        <a:prstGeom prst="rect">
          <a:avLst/>
        </a:prstGeom>
      </xdr:spPr>
    </xdr:pic>
    <xdr:clientData/>
  </xdr:twoCellAnchor>
  <xdr:twoCellAnchor>
    <xdr:from>
      <xdr:col>1</xdr:col>
      <xdr:colOff>1224069</xdr:colOff>
      <xdr:row>46</xdr:row>
      <xdr:rowOff>97861</xdr:rowOff>
    </xdr:from>
    <xdr:to>
      <xdr:col>10</xdr:col>
      <xdr:colOff>675265</xdr:colOff>
      <xdr:row>51</xdr:row>
      <xdr:rowOff>67261</xdr:rowOff>
    </xdr:to>
    <xdr:sp macro="" textlink="">
      <xdr:nvSpPr>
        <xdr:cNvPr id="8" name="Rechteck: abgerundete Ecken 7">
          <a:extLst>
            <a:ext uri="{FF2B5EF4-FFF2-40B4-BE49-F238E27FC236}">
              <a16:creationId xmlns:a16="http://schemas.microsoft.com/office/drawing/2014/main" id="{E25B8BCC-E3AB-46AD-BBB8-72E1DD7D106C}"/>
            </a:ext>
          </a:extLst>
        </xdr:cNvPr>
        <xdr:cNvSpPr/>
      </xdr:nvSpPr>
      <xdr:spPr>
        <a:xfrm>
          <a:off x="1597742" y="11901534"/>
          <a:ext cx="7847850" cy="921900"/>
        </a:xfrm>
        <a:prstGeom prst="roundRect">
          <a:avLst>
            <a:gd name="adj" fmla="val 9474"/>
          </a:avLst>
        </a:prstGeom>
        <a:solidFill>
          <a:srgbClr val="79B33D"/>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111964</xdr:colOff>
      <xdr:row>0</xdr:row>
      <xdr:rowOff>89499</xdr:rowOff>
    </xdr:from>
    <xdr:to>
      <xdr:col>1</xdr:col>
      <xdr:colOff>377800</xdr:colOff>
      <xdr:row>3</xdr:row>
      <xdr:rowOff>151599</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964" y="89499"/>
          <a:ext cx="638030" cy="633600"/>
        </a:xfrm>
        <a:prstGeom prst="rect">
          <a:avLst/>
        </a:prstGeom>
      </xdr:spPr>
    </xdr:pic>
    <xdr:clientData/>
  </xdr:twoCellAnchor>
  <xdr:twoCellAnchor>
    <xdr:from>
      <xdr:col>1</xdr:col>
      <xdr:colOff>482414</xdr:colOff>
      <xdr:row>1</xdr:row>
      <xdr:rowOff>62594</xdr:rowOff>
    </xdr:from>
    <xdr:to>
      <xdr:col>8</xdr:col>
      <xdr:colOff>165447</xdr:colOff>
      <xdr:row>3</xdr:row>
      <xdr:rowOff>4964</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853889" y="253094"/>
          <a:ext cx="6636283"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Kompensation</a:t>
          </a:r>
          <a:r>
            <a:rPr lang="de-DE" sz="1600" baseline="0"/>
            <a:t> &amp; C-Bindung</a:t>
          </a:r>
        </a:p>
      </xdr:txBody>
    </xdr:sp>
    <xdr:clientData/>
  </xdr:twoCellAnchor>
  <xdr:twoCellAnchor editAs="oneCell">
    <xdr:from>
      <xdr:col>12</xdr:col>
      <xdr:colOff>16565</xdr:colOff>
      <xdr:row>0</xdr:row>
      <xdr:rowOff>99392</xdr:rowOff>
    </xdr:from>
    <xdr:to>
      <xdr:col>13</xdr:col>
      <xdr:colOff>132549</xdr:colOff>
      <xdr:row>4</xdr:row>
      <xdr:rowOff>150992</xdr:rowOff>
    </xdr:to>
    <xdr:pic>
      <xdr:nvPicPr>
        <xdr:cNvPr id="2" name="Grafik 1">
          <a:extLst>
            <a:ext uri="{FF2B5EF4-FFF2-40B4-BE49-F238E27FC236}">
              <a16:creationId xmlns:a16="http://schemas.microsoft.com/office/drawing/2014/main" id="{5703E5FB-F233-4A9C-8A7E-F6489EE37D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55940" y="99392"/>
          <a:ext cx="877984" cy="813600"/>
        </a:xfrm>
        <a:prstGeom prst="rect">
          <a:avLst/>
        </a:prstGeom>
      </xdr:spPr>
    </xdr:pic>
    <xdr:clientData/>
  </xdr:twoCellAnchor>
  <xdr:twoCellAnchor>
    <xdr:from>
      <xdr:col>13</xdr:col>
      <xdr:colOff>367949</xdr:colOff>
      <xdr:row>1</xdr:row>
      <xdr:rowOff>17749</xdr:rowOff>
    </xdr:from>
    <xdr:to>
      <xdr:col>23</xdr:col>
      <xdr:colOff>151837</xdr:colOff>
      <xdr:row>4</xdr:row>
      <xdr:rowOff>940</xdr:rowOff>
    </xdr:to>
    <xdr:sp macro="" textlink="">
      <xdr:nvSpPr>
        <xdr:cNvPr id="5" name="Textfeld 4">
          <a:extLst>
            <a:ext uri="{FF2B5EF4-FFF2-40B4-BE49-F238E27FC236}">
              <a16:creationId xmlns:a16="http://schemas.microsoft.com/office/drawing/2014/main" id="{8332CEBB-7B09-46A8-B1B4-14BA6108123F}"/>
            </a:ext>
          </a:extLst>
        </xdr:cNvPr>
        <xdr:cNvSpPr txBox="1"/>
      </xdr:nvSpPr>
      <xdr:spPr>
        <a:xfrm>
          <a:off x="11350688" y="208249"/>
          <a:ext cx="7403888" cy="554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Kompensation &amp; Kohlenstoffbindung</a:t>
          </a:r>
          <a:endParaRPr lang="de-DE" sz="1600"/>
        </a:p>
      </xdr:txBody>
    </xdr:sp>
    <xdr:clientData/>
  </xdr:twoCellAnchor>
  <xdr:twoCellAnchor>
    <xdr:from>
      <xdr:col>0</xdr:col>
      <xdr:colOff>40822</xdr:colOff>
      <xdr:row>14</xdr:row>
      <xdr:rowOff>68035</xdr:rowOff>
    </xdr:from>
    <xdr:to>
      <xdr:col>10</xdr:col>
      <xdr:colOff>707571</xdr:colOff>
      <xdr:row>31</xdr:row>
      <xdr:rowOff>163286</xdr:rowOff>
    </xdr:to>
    <xdr:sp macro="" textlink="">
      <xdr:nvSpPr>
        <xdr:cNvPr id="7" name="Textfeld 6">
          <a:extLst>
            <a:ext uri="{FF2B5EF4-FFF2-40B4-BE49-F238E27FC236}">
              <a16:creationId xmlns:a16="http://schemas.microsoft.com/office/drawing/2014/main" id="{B5C66ADC-6CD4-426D-90C9-5B55B85A9F3A}"/>
            </a:ext>
          </a:extLst>
        </xdr:cNvPr>
        <xdr:cNvSpPr txBox="1"/>
      </xdr:nvSpPr>
      <xdr:spPr>
        <a:xfrm>
          <a:off x="40822" y="5402035"/>
          <a:ext cx="9416142" cy="3333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Kompensation &amp; Kohlenstoffbindung</a:t>
          </a:r>
        </a:p>
        <a:p>
          <a:endParaRPr lang="de-DE" sz="1600" baseline="0"/>
        </a:p>
        <a:p>
          <a:pPr marL="171450" indent="-171450">
            <a:buFont typeface="Arial" panose="020B0604020202020204" pitchFamily="34" charset="0"/>
            <a:buChar char="•"/>
          </a:pPr>
          <a:r>
            <a:rPr lang="de-DE" sz="1100">
              <a:solidFill>
                <a:schemeClr val="dk1"/>
              </a:solidFill>
              <a:effectLst/>
              <a:latin typeface="+mn-lt"/>
              <a:ea typeface="+mn-ea"/>
              <a:cs typeface="+mn-cs"/>
            </a:rPr>
            <a:t>Bäume auf dem Schulgelände pflanzen</a:t>
          </a:r>
        </a:p>
        <a:p>
          <a:pPr marL="171450" indent="-171450">
            <a:buFont typeface="Arial" panose="020B0604020202020204" pitchFamily="34" charset="0"/>
            <a:buChar char="•"/>
          </a:pPr>
          <a:r>
            <a:rPr lang="de-DE" sz="1100">
              <a:solidFill>
                <a:schemeClr val="dk1"/>
              </a:solidFill>
              <a:effectLst/>
              <a:latin typeface="+mn-lt"/>
              <a:ea typeface="+mn-ea"/>
              <a:cs typeface="+mn-cs"/>
            </a:rPr>
            <a:t>Bäume pflanzen mit externen Partnern, z. B. mit dem Bergwaldprojekt „Aufbäumen“, dem Forstamt, den bayerischen Staatsforsten,….</a:t>
          </a:r>
        </a:p>
        <a:p>
          <a:pPr marL="171450" indent="-171450">
            <a:buFont typeface="Arial" panose="020B0604020202020204" pitchFamily="34" charset="0"/>
            <a:buChar char="•"/>
          </a:pPr>
          <a:r>
            <a:rPr lang="de-DE" sz="1100">
              <a:solidFill>
                <a:schemeClr val="dk1"/>
              </a:solidFill>
              <a:effectLst/>
              <a:latin typeface="+mn-lt"/>
              <a:ea typeface="+mn-ea"/>
              <a:cs typeface="+mn-cs"/>
            </a:rPr>
            <a:t>Baumpatenschaft: Ein Kind, ein Baum - Jedes Kind pflanzt in der 5. Klasse einen Baum auf ausgewiesenen Flächen der Kommune (Kooperation mit der Kommune)</a:t>
          </a:r>
        </a:p>
        <a:p>
          <a:pPr marL="171450" indent="-171450">
            <a:buFont typeface="Arial" panose="020B0604020202020204" pitchFamily="34" charset="0"/>
            <a:buChar char="•"/>
          </a:pPr>
          <a:r>
            <a:rPr lang="de-DE" sz="1100">
              <a:solidFill>
                <a:schemeClr val="dk1"/>
              </a:solidFill>
              <a:effectLst/>
              <a:latin typeface="+mn-lt"/>
              <a:ea typeface="+mn-ea"/>
              <a:cs typeface="+mn-cs"/>
            </a:rPr>
            <a:t>Begrünung Pausenhof</a:t>
          </a:r>
        </a:p>
        <a:p>
          <a:pPr marL="171450" indent="-171450">
            <a:buFont typeface="Arial" panose="020B0604020202020204" pitchFamily="34" charset="0"/>
            <a:buChar char="•"/>
          </a:pPr>
          <a:r>
            <a:rPr lang="de-DE" sz="1100">
              <a:solidFill>
                <a:schemeClr val="dk1"/>
              </a:solidFill>
              <a:effectLst/>
              <a:latin typeface="+mn-lt"/>
              <a:ea typeface="+mn-ea"/>
              <a:cs typeface="+mn-cs"/>
            </a:rPr>
            <a:t>CO</a:t>
          </a:r>
          <a:r>
            <a:rPr lang="de-DE" sz="1100" baseline="-25000">
              <a:solidFill>
                <a:schemeClr val="dk1"/>
              </a:solidFill>
              <a:effectLst/>
              <a:latin typeface="+mn-lt"/>
              <a:ea typeface="+mn-ea"/>
              <a:cs typeface="+mn-cs"/>
            </a:rPr>
            <a:t>2</a:t>
          </a:r>
          <a:r>
            <a:rPr lang="de-DE" sz="1100">
              <a:solidFill>
                <a:schemeClr val="dk1"/>
              </a:solidFill>
              <a:effectLst/>
              <a:latin typeface="+mn-lt"/>
              <a:ea typeface="+mn-ea"/>
              <a:cs typeface="+mn-cs"/>
            </a:rPr>
            <a:t>-Kompensation: Finanzielle Unterstützung von zertifizierten Klimaschutzprojekten im globalen Süden, wie z. B. Solarkochern, effizienten Kochöfen, Biogasanlagen, ….</a:t>
          </a:r>
        </a:p>
        <a:p>
          <a:pPr marL="171450" indent="-171450">
            <a:buFont typeface="Arial" panose="020B0604020202020204" pitchFamily="34" charset="0"/>
            <a:buChar char="•"/>
          </a:pPr>
          <a:r>
            <a:rPr lang="de-DE" sz="1100">
              <a:solidFill>
                <a:schemeClr val="dk1"/>
              </a:solidFill>
              <a:effectLst/>
              <a:latin typeface="+mn-lt"/>
              <a:ea typeface="+mn-ea"/>
              <a:cs typeface="+mn-cs"/>
            </a:rPr>
            <a:t>Ecosia als Suchmaschine einführen</a:t>
          </a:r>
        </a:p>
        <a:p>
          <a:pPr marL="171450" indent="-171450">
            <a:buFont typeface="Arial" panose="020B0604020202020204" pitchFamily="34" charset="0"/>
            <a:buChar char="•"/>
          </a:pPr>
          <a:r>
            <a:rPr lang="de-DE" sz="1100">
              <a:solidFill>
                <a:schemeClr val="dk1"/>
              </a:solidFill>
              <a:effectLst/>
              <a:latin typeface="+mn-lt"/>
              <a:ea typeface="+mn-ea"/>
              <a:cs typeface="+mn-cs"/>
            </a:rPr>
            <a:t>Heckenpflanzungen</a:t>
          </a:r>
        </a:p>
        <a:p>
          <a:pPr marL="171450" indent="-171450">
            <a:buFont typeface="Arial" panose="020B0604020202020204" pitchFamily="34" charset="0"/>
            <a:buChar char="•"/>
          </a:pPr>
          <a:r>
            <a:rPr lang="de-DE" sz="1100">
              <a:solidFill>
                <a:schemeClr val="dk1"/>
              </a:solidFill>
              <a:effectLst/>
              <a:latin typeface="+mn-lt"/>
              <a:ea typeface="+mn-ea"/>
              <a:cs typeface="+mn-cs"/>
            </a:rPr>
            <a:t>Kompensation der Schulfahrten durch zertifizierte Kompensationsprojekte</a:t>
          </a:r>
        </a:p>
        <a:p>
          <a:pPr marL="171450" indent="-171450">
            <a:buFont typeface="Arial" panose="020B0604020202020204" pitchFamily="34" charset="0"/>
            <a:buChar char="•"/>
          </a:pPr>
          <a:r>
            <a:rPr lang="de-DE" sz="1100">
              <a:solidFill>
                <a:schemeClr val="dk1"/>
              </a:solidFill>
              <a:effectLst/>
              <a:latin typeface="+mn-lt"/>
              <a:ea typeface="+mn-ea"/>
              <a:cs typeface="+mn-cs"/>
            </a:rPr>
            <a:t>Korksammlung zum Erhalt der Eichen</a:t>
          </a:r>
        </a:p>
        <a:p>
          <a:pPr marL="171450" indent="-171450">
            <a:buFont typeface="Arial" panose="020B0604020202020204" pitchFamily="34" charset="0"/>
            <a:buChar char="•"/>
          </a:pPr>
          <a:r>
            <a:rPr lang="de-DE" sz="1100">
              <a:solidFill>
                <a:schemeClr val="dk1"/>
              </a:solidFill>
              <a:effectLst/>
              <a:latin typeface="+mn-lt"/>
              <a:ea typeface="+mn-ea"/>
              <a:cs typeface="+mn-cs"/>
            </a:rPr>
            <a:t>Moorschutzaktionen durchführen (Entbuschung)</a:t>
          </a:r>
        </a:p>
        <a:p>
          <a:pPr marL="171450" indent="-171450">
            <a:buFont typeface="Arial" panose="020B0604020202020204" pitchFamily="34" charset="0"/>
            <a:buChar char="•"/>
          </a:pPr>
          <a:r>
            <a:rPr lang="de-DE" sz="1100">
              <a:solidFill>
                <a:schemeClr val="dk1"/>
              </a:solidFill>
              <a:effectLst/>
              <a:latin typeface="+mn-lt"/>
              <a:ea typeface="+mn-ea"/>
              <a:cs typeface="+mn-cs"/>
            </a:rPr>
            <a:t>Pflege Streuobstwiese</a:t>
          </a:r>
        </a:p>
        <a:p>
          <a:pPr marL="171450" indent="-171450">
            <a:buFont typeface="Arial" panose="020B0604020202020204" pitchFamily="34" charset="0"/>
            <a:buChar char="•"/>
          </a:pPr>
          <a:r>
            <a:rPr lang="de-DE" sz="1100">
              <a:solidFill>
                <a:schemeClr val="dk1"/>
              </a:solidFill>
              <a:effectLst/>
              <a:latin typeface="+mn-lt"/>
              <a:ea typeface="+mn-ea"/>
              <a:cs typeface="+mn-cs"/>
            </a:rPr>
            <a:t>Weihnachtsbaumfällung im Moor</a:t>
          </a:r>
        </a:p>
        <a:p>
          <a:pPr marL="171450" indent="-171450">
            <a:buFont typeface="Arial" panose="020B0604020202020204" pitchFamily="34" charset="0"/>
            <a:buChar char="•"/>
          </a:pPr>
          <a:r>
            <a:rPr lang="de-DE" sz="1100">
              <a:solidFill>
                <a:schemeClr val="dk1"/>
              </a:solidFill>
              <a:effectLst/>
              <a:latin typeface="+mn-lt"/>
              <a:ea typeface="+mn-ea"/>
              <a:cs typeface="+mn-cs"/>
            </a:rPr>
            <a:t>Wurmkiste: Direkte Verwertung von anfallendem Biomüll. Der Humus kann z. B. fürs Urban-Gardening verwendet werden.</a:t>
          </a:r>
          <a:endParaRPr lang="de-DE" sz="1600"/>
        </a:p>
      </xdr:txBody>
    </xdr:sp>
    <xdr:clientData/>
  </xdr:twoCellAnchor>
  <xdr:twoCellAnchor>
    <xdr:from>
      <xdr:col>13</xdr:col>
      <xdr:colOff>409679</xdr:colOff>
      <xdr:row>5</xdr:row>
      <xdr:rowOff>198033</xdr:rowOff>
    </xdr:from>
    <xdr:to>
      <xdr:col>23</xdr:col>
      <xdr:colOff>622875</xdr:colOff>
      <xdr:row>8</xdr:row>
      <xdr:rowOff>365760</xdr:rowOff>
    </xdr:to>
    <xdr:sp macro="" textlink="">
      <xdr:nvSpPr>
        <xdr:cNvPr id="14" name="Rechteck: abgerundete Ecken 13">
          <a:extLst>
            <a:ext uri="{FF2B5EF4-FFF2-40B4-BE49-F238E27FC236}">
              <a16:creationId xmlns:a16="http://schemas.microsoft.com/office/drawing/2014/main" id="{6EFF2F47-08B0-467A-8615-75363F97AABA}"/>
            </a:ext>
          </a:extLst>
        </xdr:cNvPr>
        <xdr:cNvSpPr/>
      </xdr:nvSpPr>
      <xdr:spPr>
        <a:xfrm>
          <a:off x="11865079" y="1112433"/>
          <a:ext cx="7833196" cy="1564727"/>
        </a:xfrm>
        <a:prstGeom prst="roundRect">
          <a:avLst>
            <a:gd name="adj" fmla="val 3638"/>
          </a:avLst>
        </a:prstGeom>
        <a:solidFill>
          <a:srgbClr val="508DC3"/>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de-DE" sz="1100">
              <a:solidFill>
                <a:schemeClr val="lt1"/>
              </a:solidFill>
              <a:effectLst/>
              <a:latin typeface="+mn-lt"/>
              <a:ea typeface="+mn-ea"/>
              <a:cs typeface="+mn-cs"/>
            </a:rPr>
            <a:t>Die Berechnung von Einsparungen im Handlungsfeld</a:t>
          </a:r>
          <a:r>
            <a:rPr lang="de-DE" sz="1100" baseline="0">
              <a:solidFill>
                <a:schemeClr val="lt1"/>
              </a:solidFill>
              <a:effectLst/>
              <a:latin typeface="+mn-lt"/>
              <a:ea typeface="+mn-ea"/>
              <a:cs typeface="+mn-cs"/>
            </a:rPr>
            <a:t> Kompensation und Kohlenstoffbindung sind nur durch </a:t>
          </a:r>
          <a:r>
            <a:rPr lang="de-DE" sz="1100" b="1" baseline="0">
              <a:solidFill>
                <a:schemeClr val="lt1"/>
              </a:solidFill>
              <a:effectLst/>
              <a:latin typeface="+mn-lt"/>
              <a:ea typeface="+mn-ea"/>
              <a:cs typeface="+mn-cs"/>
            </a:rPr>
            <a:t>zertifizierte Kompensationsprojekte </a:t>
          </a:r>
          <a:r>
            <a:rPr lang="de-DE" sz="1100" b="0" baseline="0">
              <a:solidFill>
                <a:schemeClr val="lt1"/>
              </a:solidFill>
              <a:effectLst/>
              <a:latin typeface="+mn-lt"/>
              <a:ea typeface="+mn-ea"/>
              <a:cs typeface="+mn-cs"/>
            </a:rPr>
            <a:t>möglich,</a:t>
          </a:r>
          <a:r>
            <a:rPr lang="de-DE" sz="1100" b="1" baseline="0">
              <a:solidFill>
                <a:schemeClr val="lt1"/>
              </a:solidFill>
              <a:effectLst/>
              <a:latin typeface="+mn-lt"/>
              <a:ea typeface="+mn-ea"/>
              <a:cs typeface="+mn-cs"/>
            </a:rPr>
            <a:t> </a:t>
          </a:r>
          <a:r>
            <a:rPr lang="de-DE" sz="1100" baseline="0">
              <a:solidFill>
                <a:schemeClr val="lt1"/>
              </a:solidFill>
              <a:effectLst/>
              <a:latin typeface="+mn-lt"/>
              <a:ea typeface="+mn-ea"/>
              <a:cs typeface="+mn-cs"/>
            </a:rPr>
            <a:t>die zum Beispiel nach dem Goldstandard oder dem VCS-Standard zertifiziert sind. Hierzu zählen Klimaschutzprojekte, wie z. B. effiziente Kochöfen, der Bau von Biogasanlagen, die Instandsetzung von Brunnen oder die dauerhafte CO</a:t>
          </a:r>
          <a:r>
            <a:rPr lang="de-DE" sz="1100" baseline="-25000">
              <a:solidFill>
                <a:schemeClr val="lt1"/>
              </a:solidFill>
              <a:effectLst/>
              <a:latin typeface="+mn-lt"/>
              <a:ea typeface="+mn-ea"/>
              <a:cs typeface="+mn-cs"/>
            </a:rPr>
            <a:t>2</a:t>
          </a:r>
          <a:r>
            <a:rPr lang="de-DE" sz="1100" baseline="0">
              <a:solidFill>
                <a:schemeClr val="lt1"/>
              </a:solidFill>
              <a:effectLst/>
              <a:latin typeface="+mn-lt"/>
              <a:ea typeface="+mn-ea"/>
              <a:cs typeface="+mn-cs"/>
            </a:rPr>
            <a:t>-Entnahme aus der Luft (z. B. </a:t>
          </a:r>
          <a:r>
            <a:rPr lang="de-DE" sz="1100" b="0">
              <a:solidFill>
                <a:schemeClr val="lt1"/>
              </a:solidFill>
              <a:effectLst/>
              <a:latin typeface="+mn-lt"/>
              <a:ea typeface="+mn-ea"/>
              <a:cs typeface="+mn-cs"/>
            </a:rPr>
            <a:t>Direct Air Capture and Carbon Storage (DACCS))</a:t>
          </a:r>
          <a:r>
            <a:rPr lang="de-DE" sz="1100" b="0" baseline="0">
              <a:solidFill>
                <a:schemeClr val="lt1"/>
              </a:solidFill>
              <a:effectLst/>
              <a:latin typeface="+mn-lt"/>
              <a:ea typeface="+mn-ea"/>
              <a:cs typeface="+mn-cs"/>
            </a:rPr>
            <a:t>. </a:t>
          </a:r>
        </a:p>
        <a:p>
          <a:r>
            <a:rPr lang="de-DE" sz="1100" b="0" baseline="0">
              <a:solidFill>
                <a:schemeClr val="lt1"/>
              </a:solidFill>
              <a:effectLst/>
              <a:latin typeface="+mn-lt"/>
              <a:ea typeface="+mn-ea"/>
              <a:cs typeface="+mn-cs"/>
            </a:rPr>
            <a:t>Bei der Kompensation von Treibhausgasen gilt es jedoch unbedingt den Dreiklang "Vermeiden - Reduzieren - Kompensieren" zu berücksichtigen. D. h. der Schwerpunkt der Klimaschutzbemühungen sollte immer auf der Vermeidung und Reduzierung von Treibhausgasemissionen liegen. Erst im letzten Schritt sollten nichtvermeidbare Treibhausgase durch zertifizierte Klimaschutzprojekte ausgeglichen werden.  </a:t>
          </a:r>
        </a:p>
        <a:p>
          <a:endParaRPr lang="de-DE" sz="1100" b="0" baseline="0">
            <a:solidFill>
              <a:schemeClr val="lt1"/>
            </a:solidFill>
            <a:effectLst/>
            <a:latin typeface="+mn-lt"/>
            <a:ea typeface="+mn-ea"/>
            <a:cs typeface="+mn-cs"/>
          </a:endParaRPr>
        </a:p>
        <a:p>
          <a:endParaRPr lang="de-DE" sz="1100" baseline="0">
            <a:solidFill>
              <a:schemeClr val="lt1"/>
            </a:solidFill>
            <a:effectLst/>
            <a:latin typeface="+mn-lt"/>
            <a:ea typeface="+mn-ea"/>
            <a:cs typeface="+mn-cs"/>
          </a:endParaRPr>
        </a:p>
        <a:p>
          <a:r>
            <a:rPr lang="de-DE" sz="1100" baseline="0">
              <a:solidFill>
                <a:schemeClr val="lt1"/>
              </a:solidFill>
              <a:effectLst/>
              <a:latin typeface="+mn-lt"/>
              <a:ea typeface="+mn-ea"/>
              <a:cs typeface="+mn-cs"/>
            </a:rPr>
            <a:t> </a:t>
          </a:r>
        </a:p>
        <a:p>
          <a:endParaRPr lang="de-DE">
            <a:effectLst/>
          </a:endParaRPr>
        </a:p>
      </xdr:txBody>
    </xdr:sp>
    <xdr:clientData/>
  </xdr:twoCellAnchor>
  <xdr:twoCellAnchor>
    <xdr:from>
      <xdr:col>1</xdr:col>
      <xdr:colOff>1189663</xdr:colOff>
      <xdr:row>32</xdr:row>
      <xdr:rowOff>181167</xdr:rowOff>
    </xdr:from>
    <xdr:to>
      <xdr:col>10</xdr:col>
      <xdr:colOff>640859</xdr:colOff>
      <xdr:row>37</xdr:row>
      <xdr:rowOff>150567</xdr:rowOff>
    </xdr:to>
    <xdr:sp macro="" textlink="">
      <xdr:nvSpPr>
        <xdr:cNvPr id="9" name="Rechteck: abgerundete Ecken 8">
          <a:extLst>
            <a:ext uri="{FF2B5EF4-FFF2-40B4-BE49-F238E27FC236}">
              <a16:creationId xmlns:a16="http://schemas.microsoft.com/office/drawing/2014/main" id="{FDBDE438-7A3C-4A02-B0A7-84680782268A}"/>
            </a:ext>
          </a:extLst>
        </xdr:cNvPr>
        <xdr:cNvSpPr/>
      </xdr:nvSpPr>
      <xdr:spPr>
        <a:xfrm>
          <a:off x="1557056" y="8944167"/>
          <a:ext cx="7833196" cy="921900"/>
        </a:xfrm>
        <a:prstGeom prst="roundRect">
          <a:avLst>
            <a:gd name="adj" fmla="val 9474"/>
          </a:avLst>
        </a:prstGeom>
        <a:solidFill>
          <a:srgbClr val="508DC3"/>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editAs="oneCell">
    <xdr:from>
      <xdr:col>0</xdr:col>
      <xdr:colOff>205289</xdr:colOff>
      <xdr:row>32</xdr:row>
      <xdr:rowOff>100053</xdr:rowOff>
    </xdr:from>
    <xdr:to>
      <xdr:col>1</xdr:col>
      <xdr:colOff>825803</xdr:colOff>
      <xdr:row>37</xdr:row>
      <xdr:rowOff>135241</xdr:rowOff>
    </xdr:to>
    <xdr:pic>
      <xdr:nvPicPr>
        <xdr:cNvPr id="10" name="Grafik 9">
          <a:extLst>
            <a:ext uri="{FF2B5EF4-FFF2-40B4-BE49-F238E27FC236}">
              <a16:creationId xmlns:a16="http://schemas.microsoft.com/office/drawing/2014/main" id="{A2A5FA94-8EB0-487A-A4DF-153C85A7D0B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205289" y="8863053"/>
          <a:ext cx="987907" cy="987688"/>
        </a:xfrm>
        <a:prstGeom prst="rect">
          <a:avLst/>
        </a:prstGeom>
      </xdr:spPr>
    </xdr:pic>
    <xdr:clientData/>
  </xdr:twoCellAnchor>
  <xdr:twoCellAnchor editAs="oneCell">
    <xdr:from>
      <xdr:col>12</xdr:col>
      <xdr:colOff>3024</xdr:colOff>
      <xdr:row>5</xdr:row>
      <xdr:rowOff>275168</xdr:rowOff>
    </xdr:from>
    <xdr:to>
      <xdr:col>13</xdr:col>
      <xdr:colOff>231955</xdr:colOff>
      <xdr:row>7</xdr:row>
      <xdr:rowOff>500856</xdr:rowOff>
    </xdr:to>
    <xdr:pic>
      <xdr:nvPicPr>
        <xdr:cNvPr id="11" name="Grafik 10">
          <a:extLst>
            <a:ext uri="{FF2B5EF4-FFF2-40B4-BE49-F238E27FC236}">
              <a16:creationId xmlns:a16="http://schemas.microsoft.com/office/drawing/2014/main" id="{8D28EEF6-88D7-49E6-91D1-C3D8BEAC6F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10707310" y="1182311"/>
          <a:ext cx="990931" cy="9876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1</xdr:col>
      <xdr:colOff>380869</xdr:colOff>
      <xdr:row>3</xdr:row>
      <xdr:rowOff>164354</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4300" y="95250"/>
          <a:ext cx="637311" cy="633600"/>
        </a:xfrm>
        <a:prstGeom prst="rect">
          <a:avLst/>
        </a:prstGeom>
      </xdr:spPr>
    </xdr:pic>
    <xdr:clientData/>
  </xdr:twoCellAnchor>
  <xdr:twoCellAnchor>
    <xdr:from>
      <xdr:col>1</xdr:col>
      <xdr:colOff>501464</xdr:colOff>
      <xdr:row>1</xdr:row>
      <xdr:rowOff>58198</xdr:rowOff>
    </xdr:from>
    <xdr:to>
      <xdr:col>8</xdr:col>
      <xdr:colOff>183032</xdr:colOff>
      <xdr:row>3</xdr:row>
      <xdr:rowOff>568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875137" y="248698"/>
          <a:ext cx="6642145"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Kommunikation &amp; Vernetzung</a:t>
          </a:r>
        </a:p>
      </xdr:txBody>
    </xdr:sp>
    <xdr:clientData/>
  </xdr:twoCellAnchor>
  <xdr:twoCellAnchor>
    <xdr:from>
      <xdr:col>0</xdr:col>
      <xdr:colOff>85725</xdr:colOff>
      <xdr:row>14</xdr:row>
      <xdr:rowOff>66674</xdr:rowOff>
    </xdr:from>
    <xdr:to>
      <xdr:col>10</xdr:col>
      <xdr:colOff>631031</xdr:colOff>
      <xdr:row>40</xdr:row>
      <xdr:rowOff>87923</xdr:rowOff>
    </xdr:to>
    <xdr:sp macro="" textlink="">
      <xdr:nvSpPr>
        <xdr:cNvPr id="2" name="Textfeld 1">
          <a:extLst>
            <a:ext uri="{FF2B5EF4-FFF2-40B4-BE49-F238E27FC236}">
              <a16:creationId xmlns:a16="http://schemas.microsoft.com/office/drawing/2014/main" id="{0C1D41E1-ACA9-4983-9DFB-47334F43FBE5}"/>
            </a:ext>
          </a:extLst>
        </xdr:cNvPr>
        <xdr:cNvSpPr txBox="1"/>
      </xdr:nvSpPr>
      <xdr:spPr>
        <a:xfrm>
          <a:off x="85725" y="5547212"/>
          <a:ext cx="9315633" cy="4974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Kommunikation &amp; Vernetzung</a:t>
          </a:r>
        </a:p>
        <a:p>
          <a:endParaRPr lang="de-DE" sz="1600" baseline="0"/>
        </a:p>
        <a:p>
          <a:pPr marL="171450" indent="-171450">
            <a:buFont typeface="Arial" panose="020B0604020202020204" pitchFamily="34" charset="0"/>
            <a:buChar char="•"/>
          </a:pPr>
          <a:r>
            <a:rPr lang="de-DE" sz="1100">
              <a:solidFill>
                <a:schemeClr val="dk1"/>
              </a:solidFill>
              <a:effectLst/>
              <a:latin typeface="+mn-lt"/>
              <a:ea typeface="+mn-ea"/>
              <a:cs typeface="+mn-cs"/>
            </a:rPr>
            <a:t>Besuch von Bildungsveranstaltungen externer Anbieter, z. B. Energievision 2050, Public Climate School, ... </a:t>
          </a:r>
        </a:p>
        <a:p>
          <a:pPr marL="171450" indent="-171450">
            <a:buFont typeface="Arial" panose="020B0604020202020204" pitchFamily="34" charset="0"/>
            <a:buChar char="•"/>
          </a:pPr>
          <a:r>
            <a:rPr lang="de-DE" sz="1100">
              <a:solidFill>
                <a:schemeClr val="dk1"/>
              </a:solidFill>
              <a:effectLst/>
              <a:latin typeface="+mn-lt"/>
              <a:ea typeface="+mn-ea"/>
              <a:cs typeface="+mn-cs"/>
            </a:rPr>
            <a:t>Besuch von lokalen Vernetzungstreffen in der Kommune/Landkreis</a:t>
          </a:r>
        </a:p>
        <a:p>
          <a:pPr marL="171450" indent="-171450">
            <a:buFont typeface="Arial" panose="020B0604020202020204" pitchFamily="34" charset="0"/>
            <a:buChar char="•"/>
          </a:pPr>
          <a:r>
            <a:rPr lang="de-DE" sz="1100">
              <a:solidFill>
                <a:schemeClr val="dk1"/>
              </a:solidFill>
              <a:effectLst/>
              <a:latin typeface="+mn-lt"/>
              <a:ea typeface="+mn-ea"/>
              <a:cs typeface="+mn-cs"/>
            </a:rPr>
            <a:t>Digitaler Adventskalender - Quizfragen</a:t>
          </a:r>
          <a:r>
            <a:rPr lang="de-DE" sz="1100" baseline="0">
              <a:solidFill>
                <a:schemeClr val="dk1"/>
              </a:solidFill>
              <a:effectLst/>
              <a:latin typeface="+mn-lt"/>
              <a:ea typeface="+mn-ea"/>
              <a:cs typeface="+mn-cs"/>
            </a:rPr>
            <a:t> zum Klimaschutz mit Gewinnspiel</a:t>
          </a:r>
          <a:endParaRPr lang="de-DE" sz="1100">
            <a:solidFill>
              <a:schemeClr val="dk1"/>
            </a:solidFill>
            <a:effectLst/>
            <a:latin typeface="+mn-lt"/>
            <a:ea typeface="+mn-ea"/>
            <a:cs typeface="+mn-cs"/>
          </a:endParaRPr>
        </a:p>
        <a:p>
          <a:pPr marL="171450" indent="-171450">
            <a:buFont typeface="Arial" panose="020B0604020202020204" pitchFamily="34" charset="0"/>
            <a:buChar char="•"/>
          </a:pPr>
          <a:r>
            <a:rPr lang="de-DE" sz="1100">
              <a:solidFill>
                <a:schemeClr val="dk1"/>
              </a:solidFill>
              <a:effectLst/>
              <a:latin typeface="+mn-lt"/>
              <a:ea typeface="+mn-ea"/>
              <a:cs typeface="+mn-cs"/>
            </a:rPr>
            <a:t>Durchführung einer "Energiewerkstatt" zur Entwicklung von Maßnahmen im Klimaschutzplan </a:t>
          </a:r>
        </a:p>
        <a:p>
          <a:pPr marL="171450" indent="-171450">
            <a:buFont typeface="Arial" panose="020B0604020202020204" pitchFamily="34" charset="0"/>
            <a:buChar char="•"/>
          </a:pPr>
          <a:r>
            <a:rPr lang="de-DE" sz="1100">
              <a:solidFill>
                <a:schemeClr val="dk1"/>
              </a:solidFill>
              <a:effectLst/>
              <a:latin typeface="+mn-lt"/>
              <a:ea typeface="+mn-ea"/>
              <a:cs typeface="+mn-cs"/>
            </a:rPr>
            <a:t>Earth</a:t>
          </a:r>
          <a:r>
            <a:rPr lang="de-DE" sz="1100" baseline="0">
              <a:solidFill>
                <a:schemeClr val="dk1"/>
              </a:solidFill>
              <a:effectLst/>
              <a:latin typeface="+mn-lt"/>
              <a:ea typeface="+mn-ea"/>
              <a:cs typeface="+mn-cs"/>
            </a:rPr>
            <a:t> Hour-Aktion durchführen </a:t>
          </a:r>
          <a:endParaRPr lang="de-DE" sz="1100">
            <a:solidFill>
              <a:schemeClr val="dk1"/>
            </a:solidFill>
            <a:effectLst/>
            <a:latin typeface="+mn-lt"/>
            <a:ea typeface="+mn-ea"/>
            <a:cs typeface="+mn-cs"/>
          </a:endParaRPr>
        </a:p>
        <a:p>
          <a:pPr marL="171450" indent="-171450">
            <a:buFont typeface="Arial" panose="020B0604020202020204" pitchFamily="34" charset="0"/>
            <a:buChar char="•"/>
          </a:pPr>
          <a:r>
            <a:rPr lang="de-DE" sz="1100">
              <a:solidFill>
                <a:schemeClr val="dk1"/>
              </a:solidFill>
              <a:effectLst/>
              <a:latin typeface="+mn-lt"/>
              <a:ea typeface="+mn-ea"/>
              <a:cs typeface="+mn-cs"/>
            </a:rPr>
            <a:t>Einrichtung von P- und W-Seminaren an Gymnasien</a:t>
          </a:r>
        </a:p>
        <a:p>
          <a:pPr marL="171450" indent="-171450">
            <a:buFont typeface="Arial" panose="020B0604020202020204" pitchFamily="34" charset="0"/>
            <a:buChar char="•"/>
          </a:pPr>
          <a:r>
            <a:rPr lang="de-DE" sz="1100">
              <a:solidFill>
                <a:schemeClr val="dk1"/>
              </a:solidFill>
              <a:effectLst/>
              <a:latin typeface="+mn-lt"/>
              <a:ea typeface="+mn-ea"/>
              <a:cs typeface="+mn-cs"/>
            </a:rPr>
            <a:t>Erasmusprojekte zum Themenbereich Klimaschutz Nachhaltigkeit</a:t>
          </a:r>
        </a:p>
        <a:p>
          <a:pPr marL="171450" indent="-171450">
            <a:buFont typeface="Arial" panose="020B0604020202020204" pitchFamily="34" charset="0"/>
            <a:buChar char="•"/>
          </a:pPr>
          <a:r>
            <a:rPr lang="de-DE" sz="1100">
              <a:solidFill>
                <a:schemeClr val="dk1"/>
              </a:solidFill>
              <a:effectLst/>
              <a:latin typeface="+mn-lt"/>
              <a:ea typeface="+mn-ea"/>
              <a:cs typeface="+mn-cs"/>
            </a:rPr>
            <a:t>Erstellung eines Klimacurriculums für alle Jahrgangsstufen</a:t>
          </a:r>
        </a:p>
        <a:p>
          <a:pPr marL="171450" indent="-171450">
            <a:buFont typeface="Arial" panose="020B0604020202020204" pitchFamily="34" charset="0"/>
            <a:buChar char="•"/>
          </a:pPr>
          <a:r>
            <a:rPr lang="de-DE" sz="1100">
              <a:solidFill>
                <a:schemeClr val="dk1"/>
              </a:solidFill>
              <a:effectLst/>
              <a:latin typeface="+mn-lt"/>
              <a:ea typeface="+mn-ea"/>
              <a:cs typeface="+mn-cs"/>
            </a:rPr>
            <a:t>Escape-Games zum Klimawandel</a:t>
          </a:r>
        </a:p>
        <a:p>
          <a:pPr marL="171450" indent="-171450">
            <a:buFont typeface="Arial" panose="020B0604020202020204" pitchFamily="34" charset="0"/>
            <a:buChar char="•"/>
          </a:pPr>
          <a:r>
            <a:rPr lang="de-DE" sz="1100">
              <a:solidFill>
                <a:schemeClr val="dk1"/>
              </a:solidFill>
              <a:effectLst/>
              <a:latin typeface="+mn-lt"/>
              <a:ea typeface="+mn-ea"/>
              <a:cs typeface="+mn-cs"/>
            </a:rPr>
            <a:t>Exkursionen mit Schülerinnen und Schülern (Naturerfahrung, Sensibilisierung, Wissensvermittlung,...)</a:t>
          </a:r>
        </a:p>
        <a:p>
          <a:pPr marL="171450" indent="-171450">
            <a:buFont typeface="Arial" panose="020B0604020202020204" pitchFamily="34" charset="0"/>
            <a:buChar char="•"/>
          </a:pPr>
          <a:r>
            <a:rPr lang="de-DE" sz="1100">
              <a:solidFill>
                <a:schemeClr val="dk1"/>
              </a:solidFill>
              <a:effectLst/>
              <a:latin typeface="+mn-lt"/>
              <a:ea typeface="+mn-ea"/>
              <a:cs typeface="+mn-cs"/>
            </a:rPr>
            <a:t>Fotoakation: Gesicht zeigen für den Klimaschutz</a:t>
          </a:r>
        </a:p>
        <a:p>
          <a:pPr marL="171450" indent="-171450">
            <a:buFont typeface="Arial" panose="020B0604020202020204" pitchFamily="34" charset="0"/>
            <a:buChar char="•"/>
          </a:pPr>
          <a:r>
            <a:rPr lang="de-DE" sz="1100">
              <a:solidFill>
                <a:schemeClr val="dk1"/>
              </a:solidFill>
              <a:effectLst/>
              <a:latin typeface="+mn-lt"/>
              <a:ea typeface="+mn-ea"/>
              <a:cs typeface="+mn-cs"/>
            </a:rPr>
            <a:t>Gestaltung von Stellwänden, Plakaten und Präsentationen: Darstellung des aktuellen Standes für die Schulfamilie</a:t>
          </a:r>
        </a:p>
        <a:p>
          <a:pPr marL="171450" indent="-171450">
            <a:buFont typeface="Arial" panose="020B0604020202020204" pitchFamily="34" charset="0"/>
            <a:buChar char="•"/>
          </a:pPr>
          <a:r>
            <a:rPr lang="de-DE" sz="1100">
              <a:solidFill>
                <a:schemeClr val="dk1"/>
              </a:solidFill>
              <a:effectLst/>
              <a:latin typeface="+mn-lt"/>
              <a:ea typeface="+mn-ea"/>
              <a:cs typeface="+mn-cs"/>
            </a:rPr>
            <a:t>Gründung eines gemeinnützigen</a:t>
          </a:r>
          <a:r>
            <a:rPr lang="de-DE" sz="1100" baseline="0">
              <a:solidFill>
                <a:schemeClr val="dk1"/>
              </a:solidFill>
              <a:effectLst/>
              <a:latin typeface="+mn-lt"/>
              <a:ea typeface="+mn-ea"/>
              <a:cs typeface="+mn-cs"/>
            </a:rPr>
            <a:t> Vereins zur Förderung der Klimaschutzarbeit und der Klimaschutzziele der Schule</a:t>
          </a:r>
          <a:endParaRPr lang="de-DE" sz="1100">
            <a:solidFill>
              <a:schemeClr val="dk1"/>
            </a:solidFill>
            <a:effectLst/>
            <a:latin typeface="+mn-lt"/>
            <a:ea typeface="+mn-ea"/>
            <a:cs typeface="+mn-cs"/>
          </a:endParaRPr>
        </a:p>
        <a:p>
          <a:pPr marL="171450" indent="-171450">
            <a:buFont typeface="Arial" panose="020B0604020202020204" pitchFamily="34" charset="0"/>
            <a:buChar char="•"/>
          </a:pPr>
          <a:r>
            <a:rPr lang="de-DE" sz="1100">
              <a:solidFill>
                <a:schemeClr val="dk1"/>
              </a:solidFill>
              <a:effectLst/>
              <a:latin typeface="+mn-lt"/>
              <a:ea typeface="+mn-ea"/>
              <a:cs typeface="+mn-cs"/>
            </a:rPr>
            <a:t>Informationen und Aktionen zum Thema “Fairtrade”</a:t>
          </a:r>
        </a:p>
        <a:p>
          <a:pPr marL="171450" indent="-171450">
            <a:buFont typeface="Arial" panose="020B0604020202020204" pitchFamily="34" charset="0"/>
            <a:buChar char="•"/>
          </a:pPr>
          <a:r>
            <a:rPr lang="de-DE" sz="1100">
              <a:solidFill>
                <a:schemeClr val="dk1"/>
              </a:solidFill>
              <a:effectLst/>
              <a:latin typeface="+mn-lt"/>
              <a:ea typeface="+mn-ea"/>
              <a:cs typeface="+mn-cs"/>
            </a:rPr>
            <a:t>Klimaabend mit Expertenvorträge </a:t>
          </a:r>
        </a:p>
        <a:p>
          <a:pPr marL="171450" indent="-171450">
            <a:buFont typeface="Arial" panose="020B0604020202020204" pitchFamily="34" charset="0"/>
            <a:buChar char="•"/>
          </a:pPr>
          <a:r>
            <a:rPr lang="de-DE" sz="1100">
              <a:solidFill>
                <a:schemeClr val="dk1"/>
              </a:solidFill>
              <a:effectLst/>
              <a:latin typeface="+mn-lt"/>
              <a:ea typeface="+mn-ea"/>
              <a:cs typeface="+mn-cs"/>
            </a:rPr>
            <a:t>Klimaabend mit Podiumsdiskussion</a:t>
          </a:r>
        </a:p>
        <a:p>
          <a:pPr marL="171450" indent="-171450">
            <a:buFont typeface="Arial" panose="020B0604020202020204" pitchFamily="34" charset="0"/>
            <a:buChar char="•"/>
          </a:pPr>
          <a:r>
            <a:rPr lang="de-DE" sz="1100">
              <a:solidFill>
                <a:schemeClr val="dk1"/>
              </a:solidFill>
              <a:effectLst/>
              <a:latin typeface="+mn-lt"/>
              <a:ea typeface="+mn-ea"/>
              <a:cs typeface="+mn-cs"/>
            </a:rPr>
            <a:t>Klimapause: freiwilliges Treffen alle 2 Wochen in der großen Pause für alle Interessierten, kurze Impulsvorträge von LK oder SuS</a:t>
          </a:r>
        </a:p>
        <a:p>
          <a:pPr marL="171450" indent="-171450">
            <a:buFont typeface="Arial" panose="020B0604020202020204" pitchFamily="34" charset="0"/>
            <a:buChar char="•"/>
          </a:pPr>
          <a:r>
            <a:rPr lang="de-DE" sz="1100">
              <a:solidFill>
                <a:schemeClr val="dk1"/>
              </a:solidFill>
              <a:effectLst/>
              <a:latin typeface="+mn-lt"/>
              <a:ea typeface="+mn-ea"/>
              <a:cs typeface="+mn-cs"/>
            </a:rPr>
            <a:t>"Klimatage" in</a:t>
          </a:r>
          <a:r>
            <a:rPr lang="de-DE" sz="1100" baseline="0">
              <a:solidFill>
                <a:schemeClr val="dk1"/>
              </a:solidFill>
              <a:effectLst/>
              <a:latin typeface="+mn-lt"/>
              <a:ea typeface="+mn-ea"/>
              <a:cs typeface="+mn-cs"/>
            </a:rPr>
            <a:t> der Schule (Projekttage)</a:t>
          </a:r>
        </a:p>
        <a:p>
          <a:pPr marL="171450" indent="-171450">
            <a:buFont typeface="Arial" panose="020B0604020202020204" pitchFamily="34" charset="0"/>
            <a:buChar char="•"/>
          </a:pPr>
          <a:r>
            <a:rPr lang="de-DE" sz="1100" baseline="0">
              <a:solidFill>
                <a:schemeClr val="dk1"/>
              </a:solidFill>
              <a:effectLst/>
              <a:latin typeface="+mn-lt"/>
              <a:ea typeface="+mn-ea"/>
              <a:cs typeface="+mn-cs"/>
            </a:rPr>
            <a:t>Netzwerkbildung: </a:t>
          </a:r>
          <a:r>
            <a:rPr lang="de-DE" sz="1100" b="0" i="0" u="none" strike="noStrike">
              <a:solidFill>
                <a:schemeClr val="dk1"/>
              </a:solidFill>
              <a:effectLst/>
              <a:latin typeface="+mn-lt"/>
              <a:ea typeface="+mn-ea"/>
              <a:cs typeface="+mn-cs"/>
            </a:rPr>
            <a:t>Kontakte zu Energieberater:innen, Klimaschutzmanager:in, Ämter, Verbände, Unternehmen, Initiativen, …  </a:t>
          </a:r>
          <a:r>
            <a:rPr lang="de-DE"/>
            <a:t> </a:t>
          </a:r>
        </a:p>
        <a:p>
          <a:pPr marL="171450" indent="-171450">
            <a:buFont typeface="Arial" panose="020B0604020202020204" pitchFamily="34" charset="0"/>
            <a:buChar char="•"/>
          </a:pPr>
          <a:r>
            <a:rPr lang="de-DE" sz="1100">
              <a:solidFill>
                <a:schemeClr val="dk1"/>
              </a:solidFill>
              <a:effectLst/>
              <a:latin typeface="+mn-lt"/>
              <a:ea typeface="+mn-ea"/>
              <a:cs typeface="+mn-cs"/>
            </a:rPr>
            <a:t>Peer-to-Peer-Teaching</a:t>
          </a:r>
          <a:r>
            <a:rPr lang="de-DE" sz="1100" baseline="0">
              <a:solidFill>
                <a:schemeClr val="dk1"/>
              </a:solidFill>
              <a:effectLst/>
              <a:latin typeface="+mn-lt"/>
              <a:ea typeface="+mn-ea"/>
              <a:cs typeface="+mn-cs"/>
            </a:rPr>
            <a:t> durch Klimabotschafter:innen</a:t>
          </a:r>
        </a:p>
        <a:p>
          <a:pPr marL="171450" indent="-171450">
            <a:buFont typeface="Arial" panose="020B0604020202020204" pitchFamily="34" charset="0"/>
            <a:buChar char="•"/>
          </a:pPr>
          <a:r>
            <a:rPr lang="de-DE" sz="1100" baseline="0">
              <a:solidFill>
                <a:schemeClr val="dk1"/>
              </a:solidFill>
              <a:effectLst/>
              <a:latin typeface="+mn-lt"/>
              <a:ea typeface="+mn-ea"/>
              <a:cs typeface="+mn-cs"/>
            </a:rPr>
            <a:t>Spendenlauf </a:t>
          </a:r>
          <a:endParaRPr lang="de-DE" sz="1100">
            <a:solidFill>
              <a:schemeClr val="dk1"/>
            </a:solidFill>
            <a:effectLst/>
            <a:latin typeface="+mn-lt"/>
            <a:ea typeface="+mn-ea"/>
            <a:cs typeface="+mn-cs"/>
          </a:endParaRPr>
        </a:p>
        <a:p>
          <a:pPr marL="171450" indent="-171450">
            <a:buFont typeface="Arial" panose="020B0604020202020204" pitchFamily="34" charset="0"/>
            <a:buChar char="•"/>
          </a:pPr>
          <a:r>
            <a:rPr lang="de-DE" sz="1100">
              <a:solidFill>
                <a:schemeClr val="dk1"/>
              </a:solidFill>
              <a:effectLst/>
              <a:latin typeface="+mn-lt"/>
              <a:ea typeface="+mn-ea"/>
              <a:cs typeface="+mn-cs"/>
            </a:rPr>
            <a:t>Wahl von Klimabotschaftern: Verankerung des Themas Klimaschutz im Schulalltag, Motivation für SuS</a:t>
          </a:r>
        </a:p>
        <a:p>
          <a:pPr marL="171450" indent="-171450">
            <a:buFont typeface="Arial" panose="020B0604020202020204" pitchFamily="34" charset="0"/>
            <a:buChar char="•"/>
          </a:pPr>
          <a:r>
            <a:rPr lang="de-DE" sz="1100">
              <a:solidFill>
                <a:schemeClr val="dk1"/>
              </a:solidFill>
              <a:effectLst/>
              <a:latin typeface="+mn-lt"/>
              <a:ea typeface="+mn-ea"/>
              <a:cs typeface="+mn-cs"/>
            </a:rPr>
            <a:t>Walderlebnistag</a:t>
          </a:r>
        </a:p>
        <a:p>
          <a:pPr marL="171450" indent="-171450">
            <a:buFont typeface="Arial" panose="020B0604020202020204" pitchFamily="34" charset="0"/>
            <a:buChar char="•"/>
          </a:pPr>
          <a:r>
            <a:rPr lang="de-DE" sz="1100">
              <a:solidFill>
                <a:schemeClr val="dk1"/>
              </a:solidFill>
              <a:effectLst/>
              <a:latin typeface="+mn-lt"/>
              <a:ea typeface="+mn-ea"/>
              <a:cs typeface="+mn-cs"/>
            </a:rPr>
            <a:t>Wechselnde Plakatkampagnen im Schulhaus</a:t>
          </a:r>
        </a:p>
        <a:p>
          <a:pPr marL="171450" indent="-171450">
            <a:buFont typeface="Arial" panose="020B0604020202020204" pitchFamily="34" charset="0"/>
            <a:buChar char="•"/>
          </a:pPr>
          <a:r>
            <a:rPr lang="de-DE" sz="1100">
              <a:solidFill>
                <a:schemeClr val="dk1"/>
              </a:solidFill>
              <a:effectLst/>
              <a:latin typeface="+mn-lt"/>
              <a:ea typeface="+mn-ea"/>
              <a:cs typeface="+mn-cs"/>
            </a:rPr>
            <a:t>Workshops, z. B. zur Klimakommunikation, ...</a:t>
          </a:r>
        </a:p>
        <a:p>
          <a:endParaRPr lang="de-DE" sz="1600"/>
        </a:p>
      </xdr:txBody>
    </xdr:sp>
    <xdr:clientData/>
  </xdr:twoCellAnchor>
  <xdr:twoCellAnchor editAs="oneCell">
    <xdr:from>
      <xdr:col>12</xdr:col>
      <xdr:colOff>8405</xdr:colOff>
      <xdr:row>0</xdr:row>
      <xdr:rowOff>101553</xdr:rowOff>
    </xdr:from>
    <xdr:to>
      <xdr:col>13</xdr:col>
      <xdr:colOff>123987</xdr:colOff>
      <xdr:row>4</xdr:row>
      <xdr:rowOff>159784</xdr:rowOff>
    </xdr:to>
    <xdr:pic>
      <xdr:nvPicPr>
        <xdr:cNvPr id="5" name="Grafik 4">
          <a:extLst>
            <a:ext uri="{FF2B5EF4-FFF2-40B4-BE49-F238E27FC236}">
              <a16:creationId xmlns:a16="http://schemas.microsoft.com/office/drawing/2014/main" id="{B042DD1C-6362-47D1-84B8-B6CACD7B73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47780" y="101553"/>
          <a:ext cx="877582" cy="820231"/>
        </a:xfrm>
        <a:prstGeom prst="rect">
          <a:avLst/>
        </a:prstGeom>
      </xdr:spPr>
    </xdr:pic>
    <xdr:clientData/>
  </xdr:twoCellAnchor>
  <xdr:twoCellAnchor editAs="oneCell">
    <xdr:from>
      <xdr:col>12</xdr:col>
      <xdr:colOff>109538</xdr:colOff>
      <xdr:row>5</xdr:row>
      <xdr:rowOff>161924</xdr:rowOff>
    </xdr:from>
    <xdr:to>
      <xdr:col>13</xdr:col>
      <xdr:colOff>349052</xdr:colOff>
      <xdr:row>7</xdr:row>
      <xdr:rowOff>387612</xdr:rowOff>
    </xdr:to>
    <xdr:pic>
      <xdr:nvPicPr>
        <xdr:cNvPr id="6" name="Grafik 5">
          <a:extLst>
            <a:ext uri="{FF2B5EF4-FFF2-40B4-BE49-F238E27FC236}">
              <a16:creationId xmlns:a16="http://schemas.microsoft.com/office/drawing/2014/main" id="{1FE5DB08-26FB-46EB-B37D-FEBBF40FD3D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10325101" y="1233487"/>
          <a:ext cx="1001514" cy="987688"/>
        </a:xfrm>
        <a:prstGeom prst="rect">
          <a:avLst/>
        </a:prstGeom>
      </xdr:spPr>
    </xdr:pic>
    <xdr:clientData/>
  </xdr:twoCellAnchor>
  <xdr:twoCellAnchor>
    <xdr:from>
      <xdr:col>1</xdr:col>
      <xdr:colOff>1117724</xdr:colOff>
      <xdr:row>42</xdr:row>
      <xdr:rowOff>25063</xdr:rowOff>
    </xdr:from>
    <xdr:to>
      <xdr:col>10</xdr:col>
      <xdr:colOff>568920</xdr:colOff>
      <xdr:row>46</xdr:row>
      <xdr:rowOff>184963</xdr:rowOff>
    </xdr:to>
    <xdr:sp macro="" textlink="">
      <xdr:nvSpPr>
        <xdr:cNvPr id="7" name="Rechteck: abgerundete Ecken 6">
          <a:extLst>
            <a:ext uri="{FF2B5EF4-FFF2-40B4-BE49-F238E27FC236}">
              <a16:creationId xmlns:a16="http://schemas.microsoft.com/office/drawing/2014/main" id="{615C0795-3DD7-4A7C-9BEE-E2F7A34B6039}"/>
            </a:ext>
          </a:extLst>
        </xdr:cNvPr>
        <xdr:cNvSpPr/>
      </xdr:nvSpPr>
      <xdr:spPr>
        <a:xfrm>
          <a:off x="1498724" y="10788313"/>
          <a:ext cx="7809384" cy="921900"/>
        </a:xfrm>
        <a:prstGeom prst="roundRect">
          <a:avLst>
            <a:gd name="adj" fmla="val 9474"/>
          </a:avLst>
        </a:prstGeom>
        <a:solidFill>
          <a:srgbClr val="E7652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xdr:from>
      <xdr:col>13</xdr:col>
      <xdr:colOff>624327</xdr:colOff>
      <xdr:row>5</xdr:row>
      <xdr:rowOff>291353</xdr:rowOff>
    </xdr:from>
    <xdr:to>
      <xdr:col>22</xdr:col>
      <xdr:colOff>534681</xdr:colOff>
      <xdr:row>7</xdr:row>
      <xdr:rowOff>390525</xdr:rowOff>
    </xdr:to>
    <xdr:sp macro="" textlink="">
      <xdr:nvSpPr>
        <xdr:cNvPr id="8" name="Rechteck: abgerundete Ecken 7">
          <a:extLst>
            <a:ext uri="{FF2B5EF4-FFF2-40B4-BE49-F238E27FC236}">
              <a16:creationId xmlns:a16="http://schemas.microsoft.com/office/drawing/2014/main" id="{4EC90690-D0D5-4A32-ABAA-EF6F024B48DF}"/>
            </a:ext>
          </a:extLst>
        </xdr:cNvPr>
        <xdr:cNvSpPr/>
      </xdr:nvSpPr>
      <xdr:spPr>
        <a:xfrm>
          <a:off x="11618898" y="1352710"/>
          <a:ext cx="6768354" cy="861172"/>
        </a:xfrm>
        <a:prstGeom prst="roundRect">
          <a:avLst>
            <a:gd name="adj" fmla="val 9474"/>
          </a:avLst>
        </a:prstGeom>
        <a:solidFill>
          <a:srgbClr val="E7652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0" i="0">
              <a:solidFill>
                <a:schemeClr val="lt1"/>
              </a:solidFill>
              <a:effectLst/>
              <a:latin typeface="+mn-lt"/>
              <a:ea typeface="+mn-ea"/>
              <a:cs typeface="+mn-cs"/>
            </a:rPr>
            <a:t>Im Bereich Kommunikation und Vernetzung können keine Treibhausgaseinsparungen berechnet werden. Gleichwohl können die Maßnahmen in diesem Bereich sehr wertvoll sein und große indirekte CO</a:t>
          </a:r>
          <a:r>
            <a:rPr lang="de-DE" sz="1100" b="0" i="0" baseline="-25000">
              <a:solidFill>
                <a:schemeClr val="lt1"/>
              </a:solidFill>
              <a:effectLst/>
              <a:latin typeface="+mn-lt"/>
              <a:ea typeface="+mn-ea"/>
              <a:cs typeface="+mn-cs"/>
            </a:rPr>
            <a:t>2</a:t>
          </a:r>
          <a:r>
            <a:rPr lang="de-DE" sz="1100" b="0" i="0">
              <a:solidFill>
                <a:schemeClr val="lt1"/>
              </a:solidFill>
              <a:effectLst/>
              <a:latin typeface="+mn-lt"/>
              <a:ea typeface="+mn-ea"/>
              <a:cs typeface="+mn-cs"/>
            </a:rPr>
            <a:t>-Einsparungen zur Folge haben, z. B. indem durch Bildungsmaßnahmen eine Verhaltensänderung bei den Schülerinnen</a:t>
          </a:r>
          <a:r>
            <a:rPr lang="de-DE" sz="1100" b="0" i="0" baseline="0">
              <a:solidFill>
                <a:schemeClr val="lt1"/>
              </a:solidFill>
              <a:effectLst/>
              <a:latin typeface="+mn-lt"/>
              <a:ea typeface="+mn-ea"/>
              <a:cs typeface="+mn-cs"/>
            </a:rPr>
            <a:t> und Schüler sowie im familiären Umfeld </a:t>
          </a:r>
          <a:r>
            <a:rPr lang="de-DE" sz="1100" b="0" i="0">
              <a:solidFill>
                <a:schemeClr val="lt1"/>
              </a:solidFill>
              <a:effectLst/>
              <a:latin typeface="+mn-lt"/>
              <a:ea typeface="+mn-ea"/>
              <a:cs typeface="+mn-cs"/>
            </a:rPr>
            <a:t>stattfindet. </a:t>
          </a:r>
          <a:endParaRPr lang="de-DE" sz="1100" b="0"/>
        </a:p>
      </xdr:txBody>
    </xdr:sp>
    <xdr:clientData/>
  </xdr:twoCellAnchor>
  <xdr:twoCellAnchor editAs="oneCell">
    <xdr:from>
      <xdr:col>0</xdr:col>
      <xdr:colOff>133350</xdr:colOff>
      <xdr:row>41</xdr:row>
      <xdr:rowOff>134449</xdr:rowOff>
    </xdr:from>
    <xdr:to>
      <xdr:col>1</xdr:col>
      <xdr:colOff>753864</xdr:colOff>
      <xdr:row>46</xdr:row>
      <xdr:rowOff>169637</xdr:rowOff>
    </xdr:to>
    <xdr:pic>
      <xdr:nvPicPr>
        <xdr:cNvPr id="9" name="Grafik 8">
          <a:extLst>
            <a:ext uri="{FF2B5EF4-FFF2-40B4-BE49-F238E27FC236}">
              <a16:creationId xmlns:a16="http://schemas.microsoft.com/office/drawing/2014/main" id="{4720D28D-5050-44F9-AAE7-2A33387F471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133350" y="10758487"/>
          <a:ext cx="994187" cy="987688"/>
        </a:xfrm>
        <a:prstGeom prst="rect">
          <a:avLst/>
        </a:prstGeom>
      </xdr:spPr>
    </xdr:pic>
    <xdr:clientData/>
  </xdr:twoCellAnchor>
  <xdr:twoCellAnchor>
    <xdr:from>
      <xdr:col>13</xdr:col>
      <xdr:colOff>521494</xdr:colOff>
      <xdr:row>1</xdr:row>
      <xdr:rowOff>33337</xdr:rowOff>
    </xdr:from>
    <xdr:to>
      <xdr:col>23</xdr:col>
      <xdr:colOff>206730</xdr:colOff>
      <xdr:row>4</xdr:row>
      <xdr:rowOff>16528</xdr:rowOff>
    </xdr:to>
    <xdr:sp macro="" textlink="">
      <xdr:nvSpPr>
        <xdr:cNvPr id="11" name="Textfeld 10">
          <a:extLst>
            <a:ext uri="{FF2B5EF4-FFF2-40B4-BE49-F238E27FC236}">
              <a16:creationId xmlns:a16="http://schemas.microsoft.com/office/drawing/2014/main" id="{E0E394DF-9AAB-42CB-972F-486701C70359}"/>
            </a:ext>
          </a:extLst>
        </xdr:cNvPr>
        <xdr:cNvSpPr txBox="1"/>
      </xdr:nvSpPr>
      <xdr:spPr>
        <a:xfrm>
          <a:off x="11522869" y="223837"/>
          <a:ext cx="7305236" cy="554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Kommunikation &amp;</a:t>
          </a:r>
          <a:r>
            <a:rPr lang="de-DE" sz="1600" b="0" i="0" u="none" strike="noStrike" baseline="0">
              <a:solidFill>
                <a:schemeClr val="dk1"/>
              </a:solidFill>
              <a:effectLst/>
              <a:latin typeface="+mn-lt"/>
              <a:ea typeface="+mn-ea"/>
              <a:cs typeface="+mn-cs"/>
            </a:rPr>
            <a:t> Vernetzung</a:t>
          </a:r>
          <a:endParaRPr lang="de-DE" sz="16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111672</xdr:colOff>
      <xdr:row>0</xdr:row>
      <xdr:rowOff>91965</xdr:rowOff>
    </xdr:from>
    <xdr:to>
      <xdr:col>1</xdr:col>
      <xdr:colOff>380136</xdr:colOff>
      <xdr:row>3</xdr:row>
      <xdr:rowOff>154065</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672" y="91965"/>
          <a:ext cx="637311" cy="633600"/>
        </a:xfrm>
        <a:prstGeom prst="rect">
          <a:avLst/>
        </a:prstGeom>
      </xdr:spPr>
    </xdr:pic>
    <xdr:clientData/>
  </xdr:twoCellAnchor>
  <xdr:twoCellAnchor>
    <xdr:from>
      <xdr:col>1</xdr:col>
      <xdr:colOff>491939</xdr:colOff>
      <xdr:row>1</xdr:row>
      <xdr:rowOff>72119</xdr:rowOff>
    </xdr:from>
    <xdr:to>
      <xdr:col>8</xdr:col>
      <xdr:colOff>174972</xdr:colOff>
      <xdr:row>3</xdr:row>
      <xdr:rowOff>14489</xdr:rowOff>
    </xdr:to>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863414" y="262619"/>
          <a:ext cx="6636283"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Mobilität</a:t>
          </a:r>
          <a:endParaRPr lang="de-DE" sz="1600" baseline="0"/>
        </a:p>
      </xdr:txBody>
    </xdr:sp>
    <xdr:clientData/>
  </xdr:twoCellAnchor>
  <xdr:twoCellAnchor editAs="oneCell">
    <xdr:from>
      <xdr:col>12</xdr:col>
      <xdr:colOff>6306</xdr:colOff>
      <xdr:row>0</xdr:row>
      <xdr:rowOff>103654</xdr:rowOff>
    </xdr:from>
    <xdr:to>
      <xdr:col>12</xdr:col>
      <xdr:colOff>883888</xdr:colOff>
      <xdr:row>4</xdr:row>
      <xdr:rowOff>154881</xdr:rowOff>
    </xdr:to>
    <xdr:pic>
      <xdr:nvPicPr>
        <xdr:cNvPr id="2" name="Grafik 1">
          <a:extLst>
            <a:ext uri="{FF2B5EF4-FFF2-40B4-BE49-F238E27FC236}">
              <a16:creationId xmlns:a16="http://schemas.microsoft.com/office/drawing/2014/main" id="{1FB1603C-9806-4DEB-90A9-1790EE0583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45681" y="103654"/>
          <a:ext cx="877582" cy="813227"/>
        </a:xfrm>
        <a:prstGeom prst="rect">
          <a:avLst/>
        </a:prstGeom>
      </xdr:spPr>
    </xdr:pic>
    <xdr:clientData/>
  </xdr:twoCellAnchor>
  <xdr:twoCellAnchor>
    <xdr:from>
      <xdr:col>12</xdr:col>
      <xdr:colOff>1131595</xdr:colOff>
      <xdr:row>1</xdr:row>
      <xdr:rowOff>22011</xdr:rowOff>
    </xdr:from>
    <xdr:to>
      <xdr:col>15</xdr:col>
      <xdr:colOff>75041</xdr:colOff>
      <xdr:row>4</xdr:row>
      <xdr:rowOff>5202</xdr:rowOff>
    </xdr:to>
    <xdr:sp macro="" textlink="">
      <xdr:nvSpPr>
        <xdr:cNvPr id="5" name="Textfeld 4">
          <a:extLst>
            <a:ext uri="{FF2B5EF4-FFF2-40B4-BE49-F238E27FC236}">
              <a16:creationId xmlns:a16="http://schemas.microsoft.com/office/drawing/2014/main" id="{0984D3A2-8C62-439B-8161-CCABD648D098}"/>
            </a:ext>
          </a:extLst>
        </xdr:cNvPr>
        <xdr:cNvSpPr txBox="1"/>
      </xdr:nvSpPr>
      <xdr:spPr>
        <a:xfrm>
          <a:off x="11370970" y="212511"/>
          <a:ext cx="8194602" cy="554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Mobilität</a:t>
          </a:r>
        </a:p>
      </xdr:txBody>
    </xdr:sp>
    <xdr:clientData/>
  </xdr:twoCellAnchor>
  <xdr:twoCellAnchor>
    <xdr:from>
      <xdr:col>0</xdr:col>
      <xdr:colOff>54429</xdr:colOff>
      <xdr:row>14</xdr:row>
      <xdr:rowOff>95250</xdr:rowOff>
    </xdr:from>
    <xdr:to>
      <xdr:col>10</xdr:col>
      <xdr:colOff>603817</xdr:colOff>
      <xdr:row>36</xdr:row>
      <xdr:rowOff>166688</xdr:rowOff>
    </xdr:to>
    <xdr:sp macro="" textlink="">
      <xdr:nvSpPr>
        <xdr:cNvPr id="6" name="Textfeld 5">
          <a:extLst>
            <a:ext uri="{FF2B5EF4-FFF2-40B4-BE49-F238E27FC236}">
              <a16:creationId xmlns:a16="http://schemas.microsoft.com/office/drawing/2014/main" id="{F7B2C6BE-497F-46A4-96B7-412F82E2CADC}"/>
            </a:ext>
          </a:extLst>
        </xdr:cNvPr>
        <xdr:cNvSpPr txBox="1"/>
      </xdr:nvSpPr>
      <xdr:spPr>
        <a:xfrm>
          <a:off x="54429" y="5429250"/>
          <a:ext cx="9298781" cy="4262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Mobilität</a:t>
          </a:r>
        </a:p>
        <a:p>
          <a:endParaRPr lang="de-DE" sz="900" baseline="0"/>
        </a:p>
        <a:p>
          <a:pPr marL="171450" indent="-171450">
            <a:buFont typeface="Arial" panose="020B0604020202020204" pitchFamily="34" charset="0"/>
            <a:buChar char="•"/>
          </a:pPr>
          <a:r>
            <a:rPr lang="de-DE" sz="1100">
              <a:solidFill>
                <a:schemeClr val="dk1"/>
              </a:solidFill>
              <a:effectLst/>
              <a:latin typeface="+mn-lt"/>
              <a:ea typeface="+mn-ea"/>
              <a:cs typeface="+mn-cs"/>
            </a:rPr>
            <a:t>Abstellmöglichkeiten für Fahrräder verbessern</a:t>
          </a:r>
        </a:p>
        <a:p>
          <a:pPr marL="171450" indent="-171450">
            <a:buFont typeface="Arial" panose="020B0604020202020204" pitchFamily="34" charset="0"/>
            <a:buChar char="•"/>
          </a:pPr>
          <a:r>
            <a:rPr lang="de-DE" sz="1100">
              <a:solidFill>
                <a:schemeClr val="dk1"/>
              </a:solidFill>
              <a:effectLst/>
              <a:latin typeface="+mn-lt"/>
              <a:ea typeface="+mn-ea"/>
              <a:cs typeface="+mn-cs"/>
            </a:rPr>
            <a:t>Aktion: Schule ohne Elterntaxis</a:t>
          </a:r>
        </a:p>
        <a:p>
          <a:pPr marL="171450" indent="-171450">
            <a:buFont typeface="Arial" panose="020B0604020202020204" pitchFamily="34" charset="0"/>
            <a:buChar char="•"/>
          </a:pPr>
          <a:r>
            <a:rPr lang="de-DE" sz="1100">
              <a:solidFill>
                <a:schemeClr val="dk1"/>
              </a:solidFill>
              <a:effectLst/>
              <a:latin typeface="+mn-lt"/>
              <a:ea typeface="+mn-ea"/>
              <a:cs typeface="+mn-cs"/>
            </a:rPr>
            <a:t>Bewegungspass: Halbjährliches sechswöchiges Projekt mit Stempelkarten und kleinen Belohnungen zum CO</a:t>
          </a:r>
          <a:r>
            <a:rPr lang="de-DE" sz="1100" baseline="-25000">
              <a:solidFill>
                <a:schemeClr val="dk1"/>
              </a:solidFill>
              <a:effectLst/>
              <a:latin typeface="+mn-lt"/>
              <a:ea typeface="+mn-ea"/>
              <a:cs typeface="+mn-cs"/>
            </a:rPr>
            <a:t>2</a:t>
          </a:r>
          <a:r>
            <a:rPr lang="de-DE" sz="1100">
              <a:solidFill>
                <a:schemeClr val="dk1"/>
              </a:solidFill>
              <a:effectLst/>
              <a:latin typeface="+mn-lt"/>
              <a:ea typeface="+mn-ea"/>
              <a:cs typeface="+mn-cs"/>
            </a:rPr>
            <a:t>-sparenden Weg zur Schule (Vermeidung von Elterntaxis)</a:t>
          </a:r>
        </a:p>
        <a:p>
          <a:pPr marL="171450" indent="-171450">
            <a:buFont typeface="Arial" panose="020B0604020202020204" pitchFamily="34" charset="0"/>
            <a:buChar char="•"/>
          </a:pPr>
          <a:r>
            <a:rPr lang="de-DE" sz="1100">
              <a:solidFill>
                <a:schemeClr val="dk1"/>
              </a:solidFill>
              <a:effectLst/>
              <a:latin typeface="+mn-lt"/>
              <a:ea typeface="+mn-ea"/>
              <a:cs typeface="+mn-cs"/>
            </a:rPr>
            <a:t>Challenge "Autofreier Schulweg": Schüler und Lehrer versuchen zwei Wochen lang zu Fuß, mit dem Rad oder dem Bus zur Schule zu kommen</a:t>
          </a:r>
        </a:p>
        <a:p>
          <a:pPr marL="171450" indent="-171450">
            <a:buFont typeface="Arial" panose="020B0604020202020204" pitchFamily="34" charset="0"/>
            <a:buChar char="•"/>
          </a:pPr>
          <a:r>
            <a:rPr lang="de-DE" sz="1100">
              <a:solidFill>
                <a:schemeClr val="dk1"/>
              </a:solidFill>
              <a:effectLst/>
              <a:latin typeface="+mn-lt"/>
              <a:ea typeface="+mn-ea"/>
              <a:cs typeface="+mn-cs"/>
            </a:rPr>
            <a:t>Challenge "Zu Fuß zur Schule“: ältere Schüler gehen den Weg zur Schule gemeinsam mit jüngeren</a:t>
          </a:r>
        </a:p>
        <a:p>
          <a:pPr marL="171450" indent="-171450">
            <a:buFont typeface="Arial" panose="020B0604020202020204" pitchFamily="34" charset="0"/>
            <a:buChar char="•"/>
          </a:pPr>
          <a:r>
            <a:rPr lang="de-DE" sz="1100">
              <a:solidFill>
                <a:schemeClr val="dk1"/>
              </a:solidFill>
              <a:effectLst/>
              <a:latin typeface="+mn-lt"/>
              <a:ea typeface="+mn-ea"/>
              <a:cs typeface="+mn-cs"/>
            </a:rPr>
            <a:t>Entwicklung einer Mitfahr-App</a:t>
          </a:r>
        </a:p>
        <a:p>
          <a:pPr marL="171450" indent="-171450">
            <a:buFont typeface="Arial" panose="020B0604020202020204" pitchFamily="34" charset="0"/>
            <a:buChar char="•"/>
          </a:pPr>
          <a:r>
            <a:rPr lang="de-DE" sz="1100">
              <a:solidFill>
                <a:schemeClr val="dk1"/>
              </a:solidFill>
              <a:effectLst/>
              <a:latin typeface="+mn-lt"/>
              <a:ea typeface="+mn-ea"/>
              <a:cs typeface="+mn-cs"/>
            </a:rPr>
            <a:t>Erstellen eines nachhaltigen Fahrtenkonzepts</a:t>
          </a:r>
        </a:p>
        <a:p>
          <a:pPr marL="171450" indent="-171450">
            <a:buFont typeface="Arial" panose="020B0604020202020204" pitchFamily="34" charset="0"/>
            <a:buChar char="•"/>
          </a:pPr>
          <a:r>
            <a:rPr lang="de-DE" sz="1100">
              <a:solidFill>
                <a:schemeClr val="dk1"/>
              </a:solidFill>
              <a:effectLst/>
              <a:latin typeface="+mn-lt"/>
              <a:ea typeface="+mn-ea"/>
              <a:cs typeface="+mn-cs"/>
            </a:rPr>
            <a:t>Erstellung eines Auto – Mitfahrkonzepts zur Bildung von Fahrgemeinschaften</a:t>
          </a:r>
        </a:p>
        <a:p>
          <a:pPr marL="171450" indent="-171450">
            <a:buFont typeface="Arial" panose="020B0604020202020204" pitchFamily="34" charset="0"/>
            <a:buChar char="•"/>
          </a:pPr>
          <a:r>
            <a:rPr lang="de-DE" sz="1100">
              <a:solidFill>
                <a:schemeClr val="dk1"/>
              </a:solidFill>
              <a:effectLst/>
              <a:latin typeface="+mn-lt"/>
              <a:ea typeface="+mn-ea"/>
              <a:cs typeface="+mn-cs"/>
            </a:rPr>
            <a:t>Fahrradsicherheitstraining</a:t>
          </a:r>
        </a:p>
        <a:p>
          <a:pPr marL="171450" indent="-171450">
            <a:buFont typeface="Arial" panose="020B0604020202020204" pitchFamily="34" charset="0"/>
            <a:buChar char="•"/>
          </a:pPr>
          <a:r>
            <a:rPr lang="de-DE" sz="1100">
              <a:solidFill>
                <a:schemeClr val="dk1"/>
              </a:solidFill>
              <a:effectLst/>
              <a:latin typeface="+mn-lt"/>
              <a:ea typeface="+mn-ea"/>
              <a:cs typeface="+mn-cs"/>
            </a:rPr>
            <a:t>Fahrradwerkstatt anbieten</a:t>
          </a:r>
        </a:p>
        <a:p>
          <a:pPr marL="171450" indent="-171450">
            <a:buFont typeface="Arial" panose="020B0604020202020204" pitchFamily="34" charset="0"/>
            <a:buChar char="•"/>
          </a:pPr>
          <a:r>
            <a:rPr lang="de-DE" sz="1100">
              <a:solidFill>
                <a:schemeClr val="dk1"/>
              </a:solidFill>
              <a:effectLst/>
              <a:latin typeface="+mn-lt"/>
              <a:ea typeface="+mn-ea"/>
              <a:cs typeface="+mn-cs"/>
            </a:rPr>
            <a:t>Fußgänger-Taxi: Eltern begleiten ihre Kinder zu Fuß zur Schule</a:t>
          </a:r>
        </a:p>
        <a:p>
          <a:pPr marL="171450" indent="-171450">
            <a:buFont typeface="Arial" panose="020B0604020202020204" pitchFamily="34" charset="0"/>
            <a:buChar char="•"/>
          </a:pPr>
          <a:r>
            <a:rPr lang="de-DE" sz="1100">
              <a:solidFill>
                <a:schemeClr val="dk1"/>
              </a:solidFill>
              <a:effectLst/>
              <a:latin typeface="+mn-lt"/>
              <a:ea typeface="+mn-ea"/>
              <a:cs typeface="+mn-cs"/>
            </a:rPr>
            <a:t>Ladesäule für E-Autos installieren</a:t>
          </a:r>
        </a:p>
        <a:p>
          <a:pPr marL="171450" indent="-171450">
            <a:buFont typeface="Arial" panose="020B0604020202020204" pitchFamily="34" charset="0"/>
            <a:buChar char="•"/>
          </a:pPr>
          <a:r>
            <a:rPr lang="de-DE" sz="1100">
              <a:solidFill>
                <a:schemeClr val="dk1"/>
              </a:solidFill>
              <a:effectLst/>
              <a:latin typeface="+mn-lt"/>
              <a:ea typeface="+mn-ea"/>
              <a:cs typeface="+mn-cs"/>
            </a:rPr>
            <a:t>Lastenfahrrad mit SuS bauen</a:t>
          </a:r>
        </a:p>
        <a:p>
          <a:pPr marL="171450" indent="-171450">
            <a:buFont typeface="Arial" panose="020B0604020202020204" pitchFamily="34" charset="0"/>
            <a:buChar char="•"/>
          </a:pPr>
          <a:r>
            <a:rPr lang="de-DE" sz="1100">
              <a:solidFill>
                <a:schemeClr val="dk1"/>
              </a:solidFill>
              <a:effectLst/>
              <a:latin typeface="+mn-lt"/>
              <a:ea typeface="+mn-ea"/>
              <a:cs typeface="+mn-cs"/>
            </a:rPr>
            <a:t>Planung von klimafreundlichen Wandertagen und Klassenfahrten</a:t>
          </a:r>
        </a:p>
        <a:p>
          <a:pPr marL="171450" indent="-171450">
            <a:buFont typeface="Arial" panose="020B0604020202020204" pitchFamily="34" charset="0"/>
            <a:buChar char="•"/>
          </a:pPr>
          <a:r>
            <a:rPr lang="de-DE" sz="1100">
              <a:solidFill>
                <a:schemeClr val="dk1"/>
              </a:solidFill>
              <a:effectLst/>
              <a:latin typeface="+mn-lt"/>
              <a:ea typeface="+mn-ea"/>
              <a:cs typeface="+mn-cs"/>
            </a:rPr>
            <a:t>Radparcours (ADAC) – Geschicklichkeitstraining auf dem Fahrrad</a:t>
          </a:r>
        </a:p>
        <a:p>
          <a:pPr marL="171450" indent="-171450">
            <a:buFont typeface="Arial" panose="020B0604020202020204" pitchFamily="34" charset="0"/>
            <a:buChar char="•"/>
          </a:pPr>
          <a:r>
            <a:rPr lang="de-DE" sz="1100">
              <a:solidFill>
                <a:schemeClr val="dk1"/>
              </a:solidFill>
              <a:effectLst/>
              <a:latin typeface="+mn-lt"/>
              <a:ea typeface="+mn-ea"/>
              <a:cs typeface="+mn-cs"/>
            </a:rPr>
            <a:t>Schulbustraining</a:t>
          </a:r>
        </a:p>
        <a:p>
          <a:pPr marL="171450" indent="-171450">
            <a:buFont typeface="Arial" panose="020B0604020202020204" pitchFamily="34" charset="0"/>
            <a:buChar char="•"/>
          </a:pPr>
          <a:r>
            <a:rPr lang="de-DE" sz="1100">
              <a:solidFill>
                <a:schemeClr val="dk1"/>
              </a:solidFill>
              <a:effectLst/>
              <a:latin typeface="+mn-lt"/>
              <a:ea typeface="+mn-ea"/>
              <a:cs typeface="+mn-cs"/>
            </a:rPr>
            <a:t>Schwachstellenanalyse wichtiger Schulwege und Weitergabe an die Kommune </a:t>
          </a:r>
        </a:p>
        <a:p>
          <a:pPr marL="171450" indent="-171450">
            <a:buFont typeface="Arial" panose="020B0604020202020204" pitchFamily="34" charset="0"/>
            <a:buChar char="•"/>
          </a:pPr>
          <a:r>
            <a:rPr lang="de-DE" sz="1100">
              <a:solidFill>
                <a:schemeClr val="dk1"/>
              </a:solidFill>
              <a:effectLst/>
              <a:latin typeface="+mn-lt"/>
              <a:ea typeface="+mn-ea"/>
              <a:cs typeface="+mn-cs"/>
            </a:rPr>
            <a:t>Stundeplanung: Fahrgemeinschaften fördern</a:t>
          </a:r>
        </a:p>
        <a:p>
          <a:pPr marL="171450" indent="-171450">
            <a:buFont typeface="Arial" panose="020B0604020202020204" pitchFamily="34" charset="0"/>
            <a:buChar char="•"/>
          </a:pPr>
          <a:r>
            <a:rPr lang="de-DE" sz="1100">
              <a:solidFill>
                <a:schemeClr val="dk1"/>
              </a:solidFill>
              <a:effectLst/>
              <a:latin typeface="+mn-lt"/>
              <a:ea typeface="+mn-ea"/>
              <a:cs typeface="+mn-cs"/>
            </a:rPr>
            <a:t>Teilnahme beim Stadtradel-Wettbewerb (www.stadtradeln.de), an der Klima-Tour (Schoolbikers.de), …</a:t>
          </a:r>
        </a:p>
        <a:p>
          <a:pPr marL="171450" indent="-171450">
            <a:buFont typeface="Arial" panose="020B0604020202020204" pitchFamily="34" charset="0"/>
            <a:buChar char="•"/>
          </a:pPr>
          <a:r>
            <a:rPr lang="de-DE" sz="1100">
              <a:solidFill>
                <a:schemeClr val="dk1"/>
              </a:solidFill>
              <a:effectLst/>
              <a:latin typeface="+mn-lt"/>
              <a:ea typeface="+mn-ea"/>
              <a:cs typeface="+mn-cs"/>
            </a:rPr>
            <a:t>Trocknungs- und Umkleidemöglichkeiten für Radfahrer </a:t>
          </a:r>
        </a:p>
        <a:p>
          <a:pPr marL="171450" indent="-171450">
            <a:buFont typeface="Arial" panose="020B0604020202020204" pitchFamily="34" charset="0"/>
            <a:buChar char="•"/>
          </a:pPr>
          <a:r>
            <a:rPr lang="de-DE" sz="1100">
              <a:solidFill>
                <a:schemeClr val="dk1"/>
              </a:solidFill>
              <a:effectLst/>
              <a:latin typeface="+mn-lt"/>
              <a:ea typeface="+mn-ea"/>
              <a:cs typeface="+mn-cs"/>
            </a:rPr>
            <a:t>...</a:t>
          </a:r>
        </a:p>
        <a:p>
          <a:endParaRPr lang="de-DE" sz="1600"/>
        </a:p>
      </xdr:txBody>
    </xdr:sp>
    <xdr:clientData/>
  </xdr:twoCellAnchor>
  <xdr:twoCellAnchor editAs="oneCell">
    <xdr:from>
      <xdr:col>12</xdr:col>
      <xdr:colOff>109656</xdr:colOff>
      <xdr:row>13</xdr:row>
      <xdr:rowOff>52835</xdr:rowOff>
    </xdr:from>
    <xdr:to>
      <xdr:col>12</xdr:col>
      <xdr:colOff>1255362</xdr:colOff>
      <xdr:row>19</xdr:row>
      <xdr:rowOff>63078</xdr:rowOff>
    </xdr:to>
    <xdr:pic>
      <xdr:nvPicPr>
        <xdr:cNvPr id="8" name="Grafik 7">
          <a:extLst>
            <a:ext uri="{FF2B5EF4-FFF2-40B4-BE49-F238E27FC236}">
              <a16:creationId xmlns:a16="http://schemas.microsoft.com/office/drawing/2014/main" id="{84217CDE-1E8A-D12B-A7B7-E894C5A226B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10339506" y="5215385"/>
          <a:ext cx="1145706" cy="1153243"/>
        </a:xfrm>
        <a:prstGeom prst="rect">
          <a:avLst/>
        </a:prstGeom>
      </xdr:spPr>
    </xdr:pic>
    <xdr:clientData/>
  </xdr:twoCellAnchor>
  <xdr:twoCellAnchor>
    <xdr:from>
      <xdr:col>12</xdr:col>
      <xdr:colOff>1483179</xdr:colOff>
      <xdr:row>12</xdr:row>
      <xdr:rowOff>291192</xdr:rowOff>
    </xdr:from>
    <xdr:to>
      <xdr:col>15</xdr:col>
      <xdr:colOff>1864177</xdr:colOff>
      <xdr:row>23</xdr:row>
      <xdr:rowOff>176892</xdr:rowOff>
    </xdr:to>
    <xdr:sp macro="" textlink="">
      <xdr:nvSpPr>
        <xdr:cNvPr id="9" name="Rechteck: abgerundete Ecken 8">
          <a:extLst>
            <a:ext uri="{FF2B5EF4-FFF2-40B4-BE49-F238E27FC236}">
              <a16:creationId xmlns:a16="http://schemas.microsoft.com/office/drawing/2014/main" id="{16BBD38F-134D-DDFD-2171-3490A026AC9B}"/>
            </a:ext>
          </a:extLst>
        </xdr:cNvPr>
        <xdr:cNvSpPr/>
      </xdr:nvSpPr>
      <xdr:spPr>
        <a:xfrm>
          <a:off x="11715750" y="5135335"/>
          <a:ext cx="9633856" cy="2090057"/>
        </a:xfrm>
        <a:prstGeom prst="roundRect">
          <a:avLst>
            <a:gd name="adj" fmla="val 6411"/>
          </a:avLst>
        </a:prstGeom>
        <a:solidFill>
          <a:srgbClr val="33334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de-DE" sz="1400" b="0" i="0">
              <a:solidFill>
                <a:schemeClr val="lt1"/>
              </a:solidFill>
              <a:effectLst/>
              <a:latin typeface="+mn-lt"/>
              <a:ea typeface="+mn-ea"/>
              <a:cs typeface="+mn-cs"/>
            </a:rPr>
            <a:t>Was sind Personenkilometer?</a:t>
          </a:r>
          <a:endParaRPr lang="de-DE" sz="1400">
            <a:effectLst/>
          </a:endParaRPr>
        </a:p>
        <a:p>
          <a:endParaRPr lang="de-DE" sz="1100" b="0" i="0">
            <a:solidFill>
              <a:schemeClr val="lt1"/>
            </a:solidFill>
            <a:effectLst/>
            <a:latin typeface="+mn-lt"/>
            <a:ea typeface="+mn-ea"/>
            <a:cs typeface="+mn-cs"/>
          </a:endParaRPr>
        </a:p>
        <a:p>
          <a:r>
            <a:rPr lang="de-DE" sz="1100" b="0" i="0">
              <a:solidFill>
                <a:schemeClr val="lt1"/>
              </a:solidFill>
              <a:effectLst/>
              <a:latin typeface="+mn-lt"/>
              <a:ea typeface="+mn-ea"/>
              <a:cs typeface="+mn-cs"/>
            </a:rPr>
            <a:t>Die Einheit Personenkilometer (kurz Pkm) steht für die Gesamtanzahl der zurückgelegten Kilometer, die z. B. eine Schülergruppe mit einem bestimmten Verkehrsmittel zurückgelegt haben.</a:t>
          </a:r>
          <a:r>
            <a:rPr lang="de-DE" sz="1100">
              <a:solidFill>
                <a:schemeClr val="lt1"/>
              </a:solidFill>
              <a:effectLst/>
              <a:latin typeface="+mn-lt"/>
              <a:ea typeface="+mn-ea"/>
              <a:cs typeface="+mn-cs"/>
            </a:rPr>
            <a:t> </a:t>
          </a:r>
        </a:p>
        <a:p>
          <a:endParaRPr lang="de-DE">
            <a:effectLst/>
          </a:endParaRPr>
        </a:p>
        <a:p>
          <a:r>
            <a:rPr lang="de-DE" sz="1100" b="1" i="0">
              <a:solidFill>
                <a:schemeClr val="lt1"/>
              </a:solidFill>
              <a:effectLst/>
              <a:latin typeface="+mn-lt"/>
              <a:ea typeface="+mn-ea"/>
              <a:cs typeface="+mn-cs"/>
            </a:rPr>
            <a:t>Beispiel: </a:t>
          </a:r>
          <a:r>
            <a:rPr lang="de-DE" sz="1100" b="0" i="0">
              <a:solidFill>
                <a:schemeClr val="lt1"/>
              </a:solidFill>
              <a:effectLst/>
              <a:latin typeface="+mn-lt"/>
              <a:ea typeface="+mn-ea"/>
              <a:cs typeface="+mn-cs"/>
            </a:rPr>
            <a:t>Fahrt nach Rom</a:t>
          </a:r>
          <a:r>
            <a:rPr lang="de-DE" sz="1100">
              <a:solidFill>
                <a:schemeClr val="lt1"/>
              </a:solidFill>
              <a:effectLst/>
              <a:latin typeface="+mn-lt"/>
              <a:ea typeface="+mn-ea"/>
              <a:cs typeface="+mn-cs"/>
            </a:rPr>
            <a:t> </a:t>
          </a:r>
          <a:endParaRPr lang="de-DE">
            <a:effectLst/>
          </a:endParaRPr>
        </a:p>
        <a:p>
          <a:r>
            <a:rPr lang="de-DE" sz="1100">
              <a:solidFill>
                <a:schemeClr val="lt1"/>
              </a:solidFill>
              <a:effectLst/>
              <a:latin typeface="+mn-lt"/>
              <a:ea typeface="+mn-ea"/>
              <a:cs typeface="+mn-cs"/>
            </a:rPr>
            <a:t>30</a:t>
          </a:r>
          <a:r>
            <a:rPr lang="de-DE" sz="1100" baseline="0">
              <a:solidFill>
                <a:schemeClr val="lt1"/>
              </a:solidFill>
              <a:effectLst/>
              <a:latin typeface="+mn-lt"/>
              <a:ea typeface="+mn-ea"/>
              <a:cs typeface="+mn-cs"/>
            </a:rPr>
            <a:t> Schülerinnen und Schüler nehmen an einem Austausch mit einer Schule in Rom teil. Zwei Lehrkräfte begleiten die Fahrt. Die Fahrstrecke beträgt </a:t>
          </a:r>
        </a:p>
        <a:p>
          <a:r>
            <a:rPr lang="de-DE" sz="1100" baseline="0">
              <a:solidFill>
                <a:schemeClr val="lt1"/>
              </a:solidFill>
              <a:effectLst/>
              <a:latin typeface="+mn-lt"/>
              <a:ea typeface="+mn-ea"/>
              <a:cs typeface="+mn-cs"/>
            </a:rPr>
            <a:t>insgesamt 2400 km.</a:t>
          </a:r>
          <a:endParaRPr lang="de-DE">
            <a:effectLst/>
          </a:endParaRPr>
        </a:p>
        <a:p>
          <a:endParaRPr lang="de-DE" sz="1100" baseline="0">
            <a:solidFill>
              <a:schemeClr val="lt1"/>
            </a:solidFill>
            <a:effectLst/>
            <a:latin typeface="+mn-lt"/>
            <a:ea typeface="+mn-ea"/>
            <a:cs typeface="+mn-cs"/>
          </a:endParaRPr>
        </a:p>
        <a:p>
          <a:r>
            <a:rPr lang="de-DE" sz="1100" baseline="0">
              <a:solidFill>
                <a:schemeClr val="lt1"/>
              </a:solidFill>
              <a:effectLst/>
              <a:latin typeface="+mn-lt"/>
              <a:ea typeface="+mn-ea"/>
              <a:cs typeface="+mn-cs"/>
            </a:rPr>
            <a:t>Die Anzahl der Personenkilometer berechent sich dann wie folgt: (30 + 2) x 2400 km  = 32 x 2400 km = 76832 Personenkilometer </a:t>
          </a:r>
          <a:endParaRPr lang="de-DE" sz="1100"/>
        </a:p>
      </xdr:txBody>
    </xdr:sp>
    <xdr:clientData/>
  </xdr:twoCellAnchor>
  <xdr:twoCellAnchor>
    <xdr:from>
      <xdr:col>1</xdr:col>
      <xdr:colOff>1071912</xdr:colOff>
      <xdr:row>38</xdr:row>
      <xdr:rowOff>121935</xdr:rowOff>
    </xdr:from>
    <xdr:to>
      <xdr:col>10</xdr:col>
      <xdr:colOff>523108</xdr:colOff>
      <xdr:row>43</xdr:row>
      <xdr:rowOff>91335</xdr:rowOff>
    </xdr:to>
    <xdr:sp macro="" textlink="">
      <xdr:nvSpPr>
        <xdr:cNvPr id="12" name="Rechteck: abgerundete Ecken 11">
          <a:extLst>
            <a:ext uri="{FF2B5EF4-FFF2-40B4-BE49-F238E27FC236}">
              <a16:creationId xmlns:a16="http://schemas.microsoft.com/office/drawing/2014/main" id="{9AFE2897-70F7-425A-AAD8-0FCB33E1D72B}"/>
            </a:ext>
          </a:extLst>
        </xdr:cNvPr>
        <xdr:cNvSpPr/>
      </xdr:nvSpPr>
      <xdr:spPr>
        <a:xfrm>
          <a:off x="1439305" y="10027935"/>
          <a:ext cx="7833196" cy="921900"/>
        </a:xfrm>
        <a:prstGeom prst="roundRect">
          <a:avLst>
            <a:gd name="adj" fmla="val 9474"/>
          </a:avLst>
        </a:prstGeom>
        <a:solidFill>
          <a:srgbClr val="33334D"/>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editAs="oneCell">
    <xdr:from>
      <xdr:col>0</xdr:col>
      <xdr:colOff>87538</xdr:colOff>
      <xdr:row>38</xdr:row>
      <xdr:rowOff>40821</xdr:rowOff>
    </xdr:from>
    <xdr:to>
      <xdr:col>1</xdr:col>
      <xdr:colOff>708052</xdr:colOff>
      <xdr:row>43</xdr:row>
      <xdr:rowOff>76009</xdr:rowOff>
    </xdr:to>
    <xdr:pic>
      <xdr:nvPicPr>
        <xdr:cNvPr id="13" name="Grafik 12">
          <a:extLst>
            <a:ext uri="{FF2B5EF4-FFF2-40B4-BE49-F238E27FC236}">
              <a16:creationId xmlns:a16="http://schemas.microsoft.com/office/drawing/2014/main" id="{7D684D60-6DC5-4B8D-A7C3-9863E42328C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87538" y="9946821"/>
          <a:ext cx="987907" cy="9876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111672</xdr:colOff>
      <xdr:row>0</xdr:row>
      <xdr:rowOff>91965</xdr:rowOff>
    </xdr:from>
    <xdr:to>
      <xdr:col>1</xdr:col>
      <xdr:colOff>377508</xdr:colOff>
      <xdr:row>3</xdr:row>
      <xdr:rowOff>154065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672" y="91965"/>
          <a:ext cx="637311" cy="633600"/>
        </a:xfrm>
        <a:prstGeom prst="rect">
          <a:avLst/>
        </a:prstGeom>
      </xdr:spPr>
    </xdr:pic>
    <xdr:clientData/>
  </xdr:twoCellAnchor>
  <xdr:twoCellAnchor>
    <xdr:from>
      <xdr:col>1</xdr:col>
      <xdr:colOff>510989</xdr:colOff>
      <xdr:row>1</xdr:row>
      <xdr:rowOff>62594</xdr:rowOff>
    </xdr:from>
    <xdr:to>
      <xdr:col>8</xdr:col>
      <xdr:colOff>194022</xdr:colOff>
      <xdr:row>3</xdr:row>
      <xdr:rowOff>4964</xdr:rowOff>
    </xdr:to>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882464" y="253094"/>
          <a:ext cx="6636283"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Strom</a:t>
          </a:r>
          <a:endParaRPr lang="de-DE" sz="1600" baseline="0"/>
        </a:p>
      </xdr:txBody>
    </xdr:sp>
    <xdr:clientData/>
  </xdr:twoCellAnchor>
  <xdr:twoCellAnchor>
    <xdr:from>
      <xdr:col>12</xdr:col>
      <xdr:colOff>1140598</xdr:colOff>
      <xdr:row>1</xdr:row>
      <xdr:rowOff>28914</xdr:rowOff>
    </xdr:from>
    <xdr:to>
      <xdr:col>14</xdr:col>
      <xdr:colOff>1824575</xdr:colOff>
      <xdr:row>4</xdr:row>
      <xdr:rowOff>12105</xdr:rowOff>
    </xdr:to>
    <xdr:sp macro="" textlink="">
      <xdr:nvSpPr>
        <xdr:cNvPr id="5" name="Textfeld 4">
          <a:extLst>
            <a:ext uri="{FF2B5EF4-FFF2-40B4-BE49-F238E27FC236}">
              <a16:creationId xmlns:a16="http://schemas.microsoft.com/office/drawing/2014/main" id="{3EE04152-53ED-4109-9808-94981C7CDD81}"/>
            </a:ext>
          </a:extLst>
        </xdr:cNvPr>
        <xdr:cNvSpPr txBox="1"/>
      </xdr:nvSpPr>
      <xdr:spPr>
        <a:xfrm>
          <a:off x="11379973" y="219414"/>
          <a:ext cx="8042040" cy="554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Strom</a:t>
          </a:r>
        </a:p>
      </xdr:txBody>
    </xdr:sp>
    <xdr:clientData/>
  </xdr:twoCellAnchor>
  <xdr:twoCellAnchor>
    <xdr:from>
      <xdr:col>0</xdr:col>
      <xdr:colOff>27215</xdr:colOff>
      <xdr:row>14</xdr:row>
      <xdr:rowOff>81642</xdr:rowOff>
    </xdr:from>
    <xdr:to>
      <xdr:col>10</xdr:col>
      <xdr:colOff>693964</xdr:colOff>
      <xdr:row>39</xdr:row>
      <xdr:rowOff>38099</xdr:rowOff>
    </xdr:to>
    <xdr:sp macro="" textlink="">
      <xdr:nvSpPr>
        <xdr:cNvPr id="6" name="Textfeld 5">
          <a:extLst>
            <a:ext uri="{FF2B5EF4-FFF2-40B4-BE49-F238E27FC236}">
              <a16:creationId xmlns:a16="http://schemas.microsoft.com/office/drawing/2014/main" id="{39CABA73-CDDC-40DB-9498-86743792353B}"/>
            </a:ext>
          </a:extLst>
        </xdr:cNvPr>
        <xdr:cNvSpPr txBox="1"/>
      </xdr:nvSpPr>
      <xdr:spPr>
        <a:xfrm>
          <a:off x="27215" y="5434692"/>
          <a:ext cx="9420224" cy="4718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Strom</a:t>
          </a:r>
        </a:p>
        <a:p>
          <a:endParaRPr lang="de-DE" sz="1600" baseline="0"/>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Automatische Abschaltung der PCs und Computer ab 17 Uhr</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Besuch</a:t>
          </a:r>
          <a:r>
            <a:rPr lang="de-DE" sz="1100" b="0" i="0" u="none" strike="noStrike" baseline="0">
              <a:solidFill>
                <a:schemeClr val="dk1"/>
              </a:solidFill>
              <a:effectLst/>
              <a:latin typeface="+mn-lt"/>
              <a:ea typeface="+mn-ea"/>
              <a:cs typeface="+mn-cs"/>
            </a:rPr>
            <a:t> von Kraftwerken in der Region (Windkraftanlage, Wasserkraft, Müllverbrennungsanlage, ...)</a:t>
          </a:r>
        </a:p>
        <a:p>
          <a:pPr marL="171450" indent="-171450" fontAlgn="ctr">
            <a:buFont typeface="Arial" panose="020B0604020202020204" pitchFamily="34" charset="0"/>
            <a:buChar char="•"/>
          </a:pPr>
          <a:r>
            <a:rPr lang="de-DE" sz="1100" b="0" i="0" u="none" strike="noStrike" baseline="0">
              <a:solidFill>
                <a:schemeClr val="dk1"/>
              </a:solidFill>
              <a:effectLst/>
              <a:latin typeface="+mn-lt"/>
              <a:ea typeface="+mn-ea"/>
              <a:cs typeface="+mn-cs"/>
            </a:rPr>
            <a:t>Beschriftung der Lichtschalter im Klassenzimmer</a:t>
          </a:r>
          <a:endParaRPr lang="de-DE" sz="1100" b="0" i="0" u="none" strike="noStrike">
            <a:solidFill>
              <a:schemeClr val="dk1"/>
            </a:solidFill>
            <a:effectLst/>
            <a:latin typeface="+mn-lt"/>
            <a:ea typeface="+mn-ea"/>
            <a:cs typeface="+mn-cs"/>
          </a:endParaRP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Bewegungsmelder im Schulgebäude</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Bildschirmanzeige zur Stromerzeugung der Photovoltaikanlage an einem zentralen Platz im oder am Schulgebäude</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Challenge: Klassenwettbewerb</a:t>
          </a:r>
          <a:r>
            <a:rPr lang="de-DE" sz="1100" b="0" i="0" u="none" strike="noStrike" baseline="0">
              <a:solidFill>
                <a:schemeClr val="dk1"/>
              </a:solidFill>
              <a:effectLst/>
              <a:latin typeface="+mn-lt"/>
              <a:ea typeface="+mn-ea"/>
              <a:cs typeface="+mn-cs"/>
            </a:rPr>
            <a:t> zum Energiesparen</a:t>
          </a:r>
          <a:endParaRPr lang="de-DE" sz="1100" b="0" i="0" u="none" strike="noStrike">
            <a:solidFill>
              <a:schemeClr val="dk1"/>
            </a:solidFill>
            <a:effectLst/>
            <a:latin typeface="+mn-lt"/>
            <a:ea typeface="+mn-ea"/>
            <a:cs typeface="+mn-cs"/>
          </a:endParaRP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E-Bike Ladestation auf dem Schulgelände installieren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Einführung von e-Dienstfahrzeugen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Energiebeauftragte benennen und ausbilden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Energiesparende Endgeräte verwenden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Für berufliche Schulen: Regelmäßige Kontrolle der Druckluftleitungen, um Leckagen auszuschließen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Geräte nicht "durchlaufen lassen"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Installation einer Photovoltaikanlage auf dem Schuldach</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Installation einer PV-Balkonanlage</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Licht aus beim Verlassen des Raums</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Schulinterne Fortbildung, z. B. zum Thema erneuerbare Energien </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Stromfreier Tag </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Umstellung auf LED-Beleuchtung</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Unnötige Stromverbraucher identifizieren</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Wechsel des Stromtarifs: Bezug von Ökostrom</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Workshop für Schüler und Eltern: Bau einer PV-Balkonanlage</a:t>
          </a:r>
        </a:p>
        <a:p>
          <a:pPr marL="171450" indent="-171450" fontAlgn="ctr">
            <a:buFont typeface="Arial" panose="020B0604020202020204" pitchFamily="34" charset="0"/>
            <a:buChar char="•"/>
          </a:pPr>
          <a:r>
            <a:rPr lang="de-DE" sz="1100" b="0" i="0" u="none" strike="noStrike">
              <a:solidFill>
                <a:schemeClr val="dk1"/>
              </a:solidFill>
              <a:effectLst/>
              <a:latin typeface="+mn-lt"/>
              <a:ea typeface="+mn-ea"/>
              <a:cs typeface="+mn-cs"/>
            </a:rPr>
            <a:t>Workshop zum Energiesparen, z. B. mit den Klimabotschafter:innen durch eine(n) externe(n) Energieberater/-in</a:t>
          </a:r>
        </a:p>
        <a:p>
          <a:pPr marL="171450" indent="-171450" fontAlgn="ctr">
            <a:buFont typeface="Arial" panose="020B0604020202020204" pitchFamily="34" charset="0"/>
            <a:buChar char="•"/>
          </a:pPr>
          <a:r>
            <a:rPr lang="de-DE" sz="1100" b="0" i="0" u="none" strike="noStrike" baseline="0">
              <a:solidFill>
                <a:schemeClr val="dk1"/>
              </a:solidFill>
              <a:effectLst/>
              <a:latin typeface="+mn-lt"/>
              <a:ea typeface="+mn-ea"/>
              <a:cs typeface="+mn-cs"/>
            </a:rPr>
            <a:t>...</a:t>
          </a:r>
          <a:r>
            <a:rPr lang="de-DE" sz="1100" baseline="0"/>
            <a:t> </a:t>
          </a:r>
        </a:p>
        <a:p>
          <a:endParaRPr lang="de-DE" sz="1600"/>
        </a:p>
      </xdr:txBody>
    </xdr:sp>
    <xdr:clientData/>
  </xdr:twoCellAnchor>
  <xdr:twoCellAnchor>
    <xdr:from>
      <xdr:col>1</xdr:col>
      <xdr:colOff>1218417</xdr:colOff>
      <xdr:row>39</xdr:row>
      <xdr:rowOff>176364</xdr:rowOff>
    </xdr:from>
    <xdr:to>
      <xdr:col>10</xdr:col>
      <xdr:colOff>669613</xdr:colOff>
      <xdr:row>44</xdr:row>
      <xdr:rowOff>145764</xdr:rowOff>
    </xdr:to>
    <xdr:sp macro="" textlink="">
      <xdr:nvSpPr>
        <xdr:cNvPr id="7" name="Rechteck: abgerundete Ecken 6">
          <a:extLst>
            <a:ext uri="{FF2B5EF4-FFF2-40B4-BE49-F238E27FC236}">
              <a16:creationId xmlns:a16="http://schemas.microsoft.com/office/drawing/2014/main" id="{A8DBED88-D0D0-4DDF-97C5-F63FC0C7ADCD}"/>
            </a:ext>
          </a:extLst>
        </xdr:cNvPr>
        <xdr:cNvSpPr/>
      </xdr:nvSpPr>
      <xdr:spPr>
        <a:xfrm>
          <a:off x="1589892" y="10291914"/>
          <a:ext cx="7833196" cy="921900"/>
        </a:xfrm>
        <a:prstGeom prst="roundRect">
          <a:avLst>
            <a:gd name="adj" fmla="val 9474"/>
          </a:avLst>
        </a:prstGeom>
        <a:solidFill>
          <a:srgbClr val="F7BE24"/>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editAs="oneCell">
    <xdr:from>
      <xdr:col>0</xdr:col>
      <xdr:colOff>238125</xdr:colOff>
      <xdr:row>39</xdr:row>
      <xdr:rowOff>95250</xdr:rowOff>
    </xdr:from>
    <xdr:to>
      <xdr:col>1</xdr:col>
      <xdr:colOff>854557</xdr:colOff>
      <xdr:row>44</xdr:row>
      <xdr:rowOff>130438</xdr:rowOff>
    </xdr:to>
    <xdr:pic>
      <xdr:nvPicPr>
        <xdr:cNvPr id="8" name="Grafik 7">
          <a:extLst>
            <a:ext uri="{FF2B5EF4-FFF2-40B4-BE49-F238E27FC236}">
              <a16:creationId xmlns:a16="http://schemas.microsoft.com/office/drawing/2014/main" id="{90BA9802-6541-417F-8C2B-F7A6B9A39D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20918923">
          <a:off x="238125" y="10210800"/>
          <a:ext cx="987907" cy="987688"/>
        </a:xfrm>
        <a:prstGeom prst="rect">
          <a:avLst/>
        </a:prstGeom>
      </xdr:spPr>
    </xdr:pic>
    <xdr:clientData/>
  </xdr:twoCellAnchor>
  <xdr:twoCellAnchor editAs="oneCell">
    <xdr:from>
      <xdr:col>12</xdr:col>
      <xdr:colOff>13137</xdr:colOff>
      <xdr:row>0</xdr:row>
      <xdr:rowOff>112904</xdr:rowOff>
    </xdr:from>
    <xdr:to>
      <xdr:col>12</xdr:col>
      <xdr:colOff>890719</xdr:colOff>
      <xdr:row>4</xdr:row>
      <xdr:rowOff>164131</xdr:rowOff>
    </xdr:to>
    <xdr:pic>
      <xdr:nvPicPr>
        <xdr:cNvPr id="10" name="Grafik 9">
          <a:extLst>
            <a:ext uri="{FF2B5EF4-FFF2-40B4-BE49-F238E27FC236}">
              <a16:creationId xmlns:a16="http://schemas.microsoft.com/office/drawing/2014/main" id="{830B852B-4EC0-427C-9340-CAA93056A9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252512" y="112904"/>
          <a:ext cx="877582" cy="8132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111672</xdr:colOff>
      <xdr:row>0</xdr:row>
      <xdr:rowOff>91965</xdr:rowOff>
    </xdr:from>
    <xdr:to>
      <xdr:col>1</xdr:col>
      <xdr:colOff>380136</xdr:colOff>
      <xdr:row>3</xdr:row>
      <xdr:rowOff>154065</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672" y="91965"/>
          <a:ext cx="637311" cy="633600"/>
        </a:xfrm>
        <a:prstGeom prst="rect">
          <a:avLst/>
        </a:prstGeom>
      </xdr:spPr>
    </xdr:pic>
    <xdr:clientData/>
  </xdr:twoCellAnchor>
  <xdr:twoCellAnchor>
    <xdr:from>
      <xdr:col>1</xdr:col>
      <xdr:colOff>472889</xdr:colOff>
      <xdr:row>1</xdr:row>
      <xdr:rowOff>62594</xdr:rowOff>
    </xdr:from>
    <xdr:to>
      <xdr:col>8</xdr:col>
      <xdr:colOff>155922</xdr:colOff>
      <xdr:row>3</xdr:row>
      <xdr:rowOff>4964</xdr:rowOff>
    </xdr:to>
    <xdr:sp macro="" textlink="">
      <xdr:nvSpPr>
        <xdr:cNvPr id="3" name="Textfeld 2">
          <a:extLst>
            <a:ext uri="{FF2B5EF4-FFF2-40B4-BE49-F238E27FC236}">
              <a16:creationId xmlns:a16="http://schemas.microsoft.com/office/drawing/2014/main" id="{00000000-0008-0000-0800-000003000000}"/>
            </a:ext>
          </a:extLst>
        </xdr:cNvPr>
        <xdr:cNvSpPr txBox="1"/>
      </xdr:nvSpPr>
      <xdr:spPr>
        <a:xfrm>
          <a:off x="844364" y="253094"/>
          <a:ext cx="6636283" cy="323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t>Handlungsfeld Wärme</a:t>
          </a:r>
          <a:endParaRPr lang="de-DE" sz="1600" baseline="0"/>
        </a:p>
      </xdr:txBody>
    </xdr:sp>
    <xdr:clientData/>
  </xdr:twoCellAnchor>
  <xdr:twoCellAnchor editAs="oneCell">
    <xdr:from>
      <xdr:col>12</xdr:col>
      <xdr:colOff>11205</xdr:colOff>
      <xdr:row>0</xdr:row>
      <xdr:rowOff>113459</xdr:rowOff>
    </xdr:from>
    <xdr:to>
      <xdr:col>12</xdr:col>
      <xdr:colOff>888787</xdr:colOff>
      <xdr:row>4</xdr:row>
      <xdr:rowOff>164686</xdr:rowOff>
    </xdr:to>
    <xdr:pic>
      <xdr:nvPicPr>
        <xdr:cNvPr id="2" name="Grafik 1">
          <a:extLst>
            <a:ext uri="{FF2B5EF4-FFF2-40B4-BE49-F238E27FC236}">
              <a16:creationId xmlns:a16="http://schemas.microsoft.com/office/drawing/2014/main" id="{DA40B14F-3C7B-4C85-9D3C-91099CF82D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50580" y="113459"/>
          <a:ext cx="877582" cy="813227"/>
        </a:xfrm>
        <a:prstGeom prst="rect">
          <a:avLst/>
        </a:prstGeom>
      </xdr:spPr>
    </xdr:pic>
    <xdr:clientData/>
  </xdr:twoCellAnchor>
  <xdr:twoCellAnchor>
    <xdr:from>
      <xdr:col>12</xdr:col>
      <xdr:colOff>1124589</xdr:colOff>
      <xdr:row>1</xdr:row>
      <xdr:rowOff>8005</xdr:rowOff>
    </xdr:from>
    <xdr:to>
      <xdr:col>16</xdr:col>
      <xdr:colOff>1710915</xdr:colOff>
      <xdr:row>3</xdr:row>
      <xdr:rowOff>181696</xdr:rowOff>
    </xdr:to>
    <xdr:sp macro="" textlink="">
      <xdr:nvSpPr>
        <xdr:cNvPr id="5" name="Textfeld 4">
          <a:extLst>
            <a:ext uri="{FF2B5EF4-FFF2-40B4-BE49-F238E27FC236}">
              <a16:creationId xmlns:a16="http://schemas.microsoft.com/office/drawing/2014/main" id="{DB5B09FB-FAE2-4DEE-AD80-A34C3BB379E1}"/>
            </a:ext>
          </a:extLst>
        </xdr:cNvPr>
        <xdr:cNvSpPr txBox="1"/>
      </xdr:nvSpPr>
      <xdr:spPr>
        <a:xfrm>
          <a:off x="11377971" y="198505"/>
          <a:ext cx="8195120" cy="554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600" b="0" i="0" u="none" strike="noStrike">
              <a:solidFill>
                <a:schemeClr val="dk1"/>
              </a:solidFill>
              <a:effectLst/>
              <a:latin typeface="+mn-lt"/>
              <a:ea typeface="+mn-ea"/>
              <a:cs typeface="+mn-cs"/>
            </a:rPr>
            <a:t>CO</a:t>
          </a:r>
          <a:r>
            <a:rPr lang="de-DE" sz="1600" b="0" i="0" u="none" strike="noStrike" baseline="-25000">
              <a:solidFill>
                <a:schemeClr val="dk1"/>
              </a:solidFill>
              <a:effectLst/>
              <a:latin typeface="+mn-lt"/>
              <a:ea typeface="+mn-ea"/>
              <a:cs typeface="+mn-cs"/>
            </a:rPr>
            <a:t>2</a:t>
          </a:r>
          <a:r>
            <a:rPr lang="de-DE" sz="1600" b="0" i="0" u="none" strike="noStrike">
              <a:solidFill>
                <a:schemeClr val="dk1"/>
              </a:solidFill>
              <a:effectLst/>
              <a:latin typeface="+mn-lt"/>
              <a:ea typeface="+mn-ea"/>
              <a:cs typeface="+mn-cs"/>
            </a:rPr>
            <a:t>-Einsparungsrechner: Wärme</a:t>
          </a:r>
        </a:p>
      </xdr:txBody>
    </xdr:sp>
    <xdr:clientData/>
  </xdr:twoCellAnchor>
  <xdr:twoCellAnchor>
    <xdr:from>
      <xdr:col>0</xdr:col>
      <xdr:colOff>27214</xdr:colOff>
      <xdr:row>14</xdr:row>
      <xdr:rowOff>81643</xdr:rowOff>
    </xdr:from>
    <xdr:to>
      <xdr:col>10</xdr:col>
      <xdr:colOff>576602</xdr:colOff>
      <xdr:row>25</xdr:row>
      <xdr:rowOff>324971</xdr:rowOff>
    </xdr:to>
    <xdr:sp macro="" textlink="">
      <xdr:nvSpPr>
        <xdr:cNvPr id="6" name="Textfeld 5">
          <a:extLst>
            <a:ext uri="{FF2B5EF4-FFF2-40B4-BE49-F238E27FC236}">
              <a16:creationId xmlns:a16="http://schemas.microsoft.com/office/drawing/2014/main" id="{C7124719-5950-4BA6-8386-0743F361CE20}"/>
            </a:ext>
          </a:extLst>
        </xdr:cNvPr>
        <xdr:cNvSpPr txBox="1"/>
      </xdr:nvSpPr>
      <xdr:spPr>
        <a:xfrm>
          <a:off x="27214" y="5497286"/>
          <a:ext cx="9298781" cy="4325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aseline="0"/>
            <a:t>Beispiele für Maßnahmen im Handlungsfeld Wärme</a:t>
          </a:r>
        </a:p>
        <a:p>
          <a:endParaRPr lang="de-DE" sz="1100" b="0" i="0" u="none" strike="noStrike">
            <a:solidFill>
              <a:schemeClr val="dk1"/>
            </a:solidFill>
            <a:effectLst/>
            <a:latin typeface="+mn-lt"/>
            <a:ea typeface="+mn-ea"/>
            <a:cs typeface="+mn-cs"/>
          </a:endParaRPr>
        </a:p>
        <a:p>
          <a:pPr marL="171450" lvl="0" indent="-171450">
            <a:buFont typeface="Arial" panose="020B0604020202020204" pitchFamily="34" charset="0"/>
            <a:buChar char="•"/>
          </a:pPr>
          <a:r>
            <a:rPr lang="de-DE" sz="1100">
              <a:solidFill>
                <a:schemeClr val="dk1"/>
              </a:solidFill>
              <a:effectLst/>
              <a:latin typeface="+mn-lt"/>
              <a:ea typeface="+mn-ea"/>
              <a:cs typeface="+mn-cs"/>
            </a:rPr>
            <a:t>Ausbildung von Energie-Coaches</a:t>
          </a:r>
        </a:p>
        <a:p>
          <a:pPr marL="171450" lvl="0" indent="-171450">
            <a:buFont typeface="Arial" panose="020B0604020202020204" pitchFamily="34" charset="0"/>
            <a:buChar char="•"/>
          </a:pPr>
          <a:r>
            <a:rPr lang="de-DE" sz="1100">
              <a:solidFill>
                <a:schemeClr val="dk1"/>
              </a:solidFill>
              <a:effectLst/>
              <a:latin typeface="+mn-lt"/>
              <a:ea typeface="+mn-ea"/>
              <a:cs typeface="+mn-cs"/>
            </a:rPr>
            <a:t>Besuch eines</a:t>
          </a:r>
          <a:r>
            <a:rPr lang="de-DE" sz="1100" baseline="0">
              <a:solidFill>
                <a:schemeClr val="dk1"/>
              </a:solidFill>
              <a:effectLst/>
              <a:latin typeface="+mn-lt"/>
              <a:ea typeface="+mn-ea"/>
              <a:cs typeface="+mn-cs"/>
            </a:rPr>
            <a:t> Heizkraftwerks mit Schülerinnen und Schülern </a:t>
          </a:r>
          <a:endParaRPr lang="de-DE" sz="1100">
            <a:solidFill>
              <a:schemeClr val="dk1"/>
            </a:solidFill>
            <a:effectLst/>
            <a:latin typeface="+mn-lt"/>
            <a:ea typeface="+mn-ea"/>
            <a:cs typeface="+mn-cs"/>
          </a:endParaRPr>
        </a:p>
        <a:p>
          <a:pPr marL="171450" lvl="0" indent="-171450">
            <a:buFont typeface="Arial" panose="020B0604020202020204" pitchFamily="34" charset="0"/>
            <a:buChar char="•"/>
          </a:pPr>
          <a:r>
            <a:rPr lang="de-DE" sz="1100">
              <a:solidFill>
                <a:schemeClr val="dk1"/>
              </a:solidFill>
              <a:effectLst/>
              <a:latin typeface="+mn-lt"/>
              <a:ea typeface="+mn-ea"/>
              <a:cs typeface="+mn-cs"/>
            </a:rPr>
            <a:t>Beauftragte für Lüften &amp; Energiesparen ernennen</a:t>
          </a:r>
        </a:p>
        <a:p>
          <a:pPr marL="171450" lvl="0" indent="-171450">
            <a:buFont typeface="Arial" panose="020B0604020202020204" pitchFamily="34" charset="0"/>
            <a:buChar char="•"/>
          </a:pPr>
          <a:r>
            <a:rPr lang="de-DE" sz="1100">
              <a:solidFill>
                <a:schemeClr val="dk1"/>
              </a:solidFill>
              <a:effectLst/>
              <a:latin typeface="+mn-lt"/>
              <a:ea typeface="+mn-ea"/>
              <a:cs typeface="+mn-cs"/>
            </a:rPr>
            <a:t>Besichtigung der Heizungsanlage der Schule - Infos zum korrekten Heizen und Energiesparen</a:t>
          </a:r>
        </a:p>
        <a:p>
          <a:pPr marL="171450" lvl="0" indent="-171450">
            <a:buFont typeface="Arial" panose="020B0604020202020204" pitchFamily="34" charset="0"/>
            <a:buChar char="•"/>
          </a:pPr>
          <a:r>
            <a:rPr lang="de-DE" sz="1100">
              <a:solidFill>
                <a:schemeClr val="dk1"/>
              </a:solidFill>
              <a:effectLst/>
              <a:latin typeface="+mn-lt"/>
              <a:ea typeface="+mn-ea"/>
              <a:cs typeface="+mn-cs"/>
            </a:rPr>
            <a:t>CO</a:t>
          </a:r>
          <a:r>
            <a:rPr lang="de-DE" sz="1100" baseline="-25000">
              <a:solidFill>
                <a:schemeClr val="dk1"/>
              </a:solidFill>
              <a:effectLst/>
              <a:latin typeface="+mn-lt"/>
              <a:ea typeface="+mn-ea"/>
              <a:cs typeface="+mn-cs"/>
            </a:rPr>
            <a:t>2</a:t>
          </a:r>
          <a:r>
            <a:rPr lang="de-DE" sz="1100" baseline="0">
              <a:solidFill>
                <a:schemeClr val="dk1"/>
              </a:solidFill>
              <a:effectLst/>
              <a:latin typeface="+mn-lt"/>
              <a:ea typeface="+mn-ea"/>
              <a:cs typeface="+mn-cs"/>
            </a:rPr>
            <a:t>-</a:t>
          </a:r>
          <a:r>
            <a:rPr lang="de-DE" sz="1100">
              <a:solidFill>
                <a:schemeClr val="dk1"/>
              </a:solidFill>
              <a:effectLst/>
              <a:latin typeface="+mn-lt"/>
              <a:ea typeface="+mn-ea"/>
              <a:cs typeface="+mn-cs"/>
            </a:rPr>
            <a:t>Ampeln im Klassenzimmer, um zielgenaues Stoßlüften zu fördern</a:t>
          </a:r>
        </a:p>
        <a:p>
          <a:pPr marL="171450" lvl="0" indent="-171450">
            <a:buFont typeface="Arial" panose="020B0604020202020204" pitchFamily="34" charset="0"/>
            <a:buChar char="•"/>
          </a:pPr>
          <a:r>
            <a:rPr lang="de-DE" sz="1100">
              <a:solidFill>
                <a:schemeClr val="dk1"/>
              </a:solidFill>
              <a:effectLst/>
              <a:latin typeface="+mn-lt"/>
              <a:ea typeface="+mn-ea"/>
              <a:cs typeface="+mn-cs"/>
            </a:rPr>
            <a:t>Erneuerung des Energieausweises,</a:t>
          </a:r>
          <a:r>
            <a:rPr lang="de-DE" sz="1100" baseline="0">
              <a:solidFill>
                <a:schemeClr val="dk1"/>
              </a:solidFill>
              <a:effectLst/>
              <a:latin typeface="+mn-lt"/>
              <a:ea typeface="+mn-ea"/>
              <a:cs typeface="+mn-cs"/>
            </a:rPr>
            <a:t> um auf mögliche Schwachstellen hinweisen zu können</a:t>
          </a:r>
        </a:p>
        <a:p>
          <a:pPr marL="171450" lvl="0" indent="-171450">
            <a:buFont typeface="Arial" panose="020B0604020202020204" pitchFamily="34" charset="0"/>
            <a:buChar char="•"/>
          </a:pPr>
          <a:r>
            <a:rPr lang="de-DE" sz="1100" baseline="0">
              <a:solidFill>
                <a:schemeClr val="dk1"/>
              </a:solidFill>
              <a:effectLst/>
              <a:latin typeface="+mn-lt"/>
              <a:ea typeface="+mn-ea"/>
              <a:cs typeface="+mn-cs"/>
            </a:rPr>
            <a:t>Gebäudecheck durch eine externe Energieberatung durchführen lassen</a:t>
          </a:r>
          <a:endParaRPr lang="de-DE" sz="1100">
            <a:solidFill>
              <a:schemeClr val="dk1"/>
            </a:solidFill>
            <a:effectLst/>
            <a:latin typeface="+mn-lt"/>
            <a:ea typeface="+mn-ea"/>
            <a:cs typeface="+mn-cs"/>
          </a:endParaRPr>
        </a:p>
        <a:p>
          <a:pPr marL="171450" lvl="0" indent="-171450">
            <a:buFont typeface="Arial" panose="020B0604020202020204" pitchFamily="34" charset="0"/>
            <a:buChar char="•"/>
          </a:pPr>
          <a:r>
            <a:rPr lang="de-DE" sz="1100">
              <a:solidFill>
                <a:schemeClr val="dk1"/>
              </a:solidFill>
              <a:effectLst/>
              <a:latin typeface="+mn-lt"/>
              <a:ea typeface="+mn-ea"/>
              <a:cs typeface="+mn-cs"/>
            </a:rPr>
            <a:t>Heizungssteuerung: Beheizung der Räume individuell steuerbar, je nach Intensität der Nutzung </a:t>
          </a:r>
        </a:p>
        <a:p>
          <a:pPr marL="171450" lvl="0" indent="-171450">
            <a:buFont typeface="Arial" panose="020B0604020202020204" pitchFamily="34" charset="0"/>
            <a:buChar char="•"/>
          </a:pPr>
          <a:r>
            <a:rPr lang="de-DE" sz="1100">
              <a:solidFill>
                <a:schemeClr val="dk1"/>
              </a:solidFill>
              <a:effectLst/>
              <a:latin typeface="+mn-lt"/>
              <a:ea typeface="+mn-ea"/>
              <a:cs typeface="+mn-cs"/>
            </a:rPr>
            <a:t>Heizungstausch in Kooperation mit dem Sachaufwandsträger</a:t>
          </a:r>
        </a:p>
        <a:p>
          <a:pPr marL="171450" lvl="0" indent="-171450">
            <a:buFont typeface="Arial" panose="020B0604020202020204" pitchFamily="34" charset="0"/>
            <a:buChar char="•"/>
          </a:pPr>
          <a:r>
            <a:rPr lang="de-DE" sz="1100">
              <a:solidFill>
                <a:schemeClr val="dk1"/>
              </a:solidFill>
              <a:effectLst/>
              <a:latin typeface="+mn-lt"/>
              <a:ea typeface="+mn-ea"/>
              <a:cs typeface="+mn-cs"/>
            </a:rPr>
            <a:t>Lüftungskonzept: Einbau einer Lüftungsanlage in allen Unterrichtsräumen mit Wärmerückgewinnung </a:t>
          </a:r>
        </a:p>
        <a:p>
          <a:pPr marL="171450" lvl="0" indent="-171450">
            <a:buFont typeface="Arial" panose="020B0604020202020204" pitchFamily="34" charset="0"/>
            <a:buChar char="•"/>
          </a:pPr>
          <a:r>
            <a:rPr lang="de-DE" sz="1100">
              <a:solidFill>
                <a:schemeClr val="dk1"/>
              </a:solidFill>
              <a:effectLst/>
              <a:latin typeface="+mn-lt"/>
              <a:ea typeface="+mn-ea"/>
              <a:cs typeface="+mn-cs"/>
            </a:rPr>
            <a:t>Optimale Heizungsregulierung: Thermometer in Klassenzimmer zur Rückmeldung - mit Datenfixierung </a:t>
          </a:r>
        </a:p>
        <a:p>
          <a:pPr marL="171450" lvl="0" indent="-171450">
            <a:buFont typeface="Arial" panose="020B0604020202020204" pitchFamily="34" charset="0"/>
            <a:buChar char="•"/>
          </a:pPr>
          <a:r>
            <a:rPr lang="de-DE" sz="1100">
              <a:solidFill>
                <a:schemeClr val="dk1"/>
              </a:solidFill>
              <a:effectLst/>
              <a:latin typeface="+mn-lt"/>
              <a:ea typeface="+mn-ea"/>
              <a:cs typeface="+mn-cs"/>
            </a:rPr>
            <a:t>Pulli-Freitag: Früherer Wochenendbetrieb der Heizungsanlage </a:t>
          </a:r>
        </a:p>
        <a:p>
          <a:pPr marL="171450" lvl="0" indent="-171450">
            <a:buFont typeface="Arial" panose="020B0604020202020204" pitchFamily="34" charset="0"/>
            <a:buChar char="•"/>
          </a:pPr>
          <a:r>
            <a:rPr lang="de-DE" sz="1100">
              <a:solidFill>
                <a:schemeClr val="dk1"/>
              </a:solidFill>
              <a:effectLst/>
              <a:latin typeface="+mn-lt"/>
              <a:ea typeface="+mn-ea"/>
              <a:cs typeface="+mn-cs"/>
            </a:rPr>
            <a:t>Reduzierung der Gangtemperatur </a:t>
          </a:r>
        </a:p>
        <a:p>
          <a:pPr marL="171450" lvl="0" indent="-171450">
            <a:buFont typeface="Arial" panose="020B0604020202020204" pitchFamily="34" charset="0"/>
            <a:buChar char="•"/>
          </a:pPr>
          <a:r>
            <a:rPr lang="de-DE" sz="1100">
              <a:solidFill>
                <a:schemeClr val="dk1"/>
              </a:solidFill>
              <a:effectLst/>
              <a:latin typeface="+mn-lt"/>
              <a:ea typeface="+mn-ea"/>
              <a:cs typeface="+mn-cs"/>
            </a:rPr>
            <a:t>Reduzierung der Raumtemperatur  </a:t>
          </a:r>
        </a:p>
        <a:p>
          <a:pPr marL="171450" lvl="0" indent="-171450">
            <a:buFont typeface="Arial" panose="020B0604020202020204" pitchFamily="34" charset="0"/>
            <a:buChar char="•"/>
          </a:pPr>
          <a:r>
            <a:rPr lang="de-DE" sz="1100">
              <a:solidFill>
                <a:schemeClr val="dk1"/>
              </a:solidFill>
              <a:effectLst/>
              <a:latin typeface="+mn-lt"/>
              <a:ea typeface="+mn-ea"/>
              <a:cs typeface="+mn-cs"/>
            </a:rPr>
            <a:t>Stoßlüften statt Kipplüften</a:t>
          </a:r>
        </a:p>
        <a:p>
          <a:pPr marL="171450" lvl="0" indent="-171450">
            <a:buFont typeface="Arial" panose="020B0604020202020204" pitchFamily="34" charset="0"/>
            <a:buChar char="•"/>
          </a:pPr>
          <a:r>
            <a:rPr lang="de-DE" sz="1100">
              <a:solidFill>
                <a:schemeClr val="dk1"/>
              </a:solidFill>
              <a:effectLst/>
              <a:latin typeface="+mn-lt"/>
              <a:ea typeface="+mn-ea"/>
              <a:cs typeface="+mn-cs"/>
            </a:rPr>
            <a:t>Teilnahme</a:t>
          </a:r>
          <a:r>
            <a:rPr lang="de-DE" sz="1100" baseline="0">
              <a:solidFill>
                <a:schemeClr val="dk1"/>
              </a:solidFill>
              <a:effectLst/>
              <a:latin typeface="+mn-lt"/>
              <a:ea typeface="+mn-ea"/>
              <a:cs typeface="+mn-cs"/>
            </a:rPr>
            <a:t> am Fifty-Fifty-Programm (Energiesparprogramm für Schulen, siehe www.fifty-fifty.eu/)</a:t>
          </a:r>
          <a:endParaRPr lang="de-DE" sz="1100">
            <a:solidFill>
              <a:schemeClr val="dk1"/>
            </a:solidFill>
            <a:effectLst/>
            <a:latin typeface="+mn-lt"/>
            <a:ea typeface="+mn-ea"/>
            <a:cs typeface="+mn-cs"/>
          </a:endParaRPr>
        </a:p>
        <a:p>
          <a:pPr marL="171450" lvl="0" indent="-171450">
            <a:buFont typeface="Arial" panose="020B0604020202020204" pitchFamily="34" charset="0"/>
            <a:buChar char="•"/>
          </a:pPr>
          <a:r>
            <a:rPr lang="de-DE" sz="1100">
              <a:solidFill>
                <a:schemeClr val="dk1"/>
              </a:solidFill>
              <a:effectLst/>
              <a:latin typeface="+mn-lt"/>
              <a:ea typeface="+mn-ea"/>
              <a:cs typeface="+mn-cs"/>
            </a:rPr>
            <a:t>Untersuchung des Gebäudes mit eine Wärmbildkamera, z. B. im Physikunterricht </a:t>
          </a:r>
        </a:p>
        <a:p>
          <a:pPr marL="171450" lvl="0" indent="-171450">
            <a:buFont typeface="Arial" panose="020B0604020202020204" pitchFamily="34" charset="0"/>
            <a:buChar char="•"/>
          </a:pPr>
          <a:r>
            <a:rPr lang="de-DE" sz="1100">
              <a:solidFill>
                <a:schemeClr val="dk1"/>
              </a:solidFill>
              <a:effectLst/>
              <a:latin typeface="+mn-lt"/>
              <a:ea typeface="+mn-ea"/>
              <a:cs typeface="+mn-cs"/>
            </a:rPr>
            <a:t>Vollwärmeschutz: Isolierung der Außenfassade des Schulgebäudes </a:t>
          </a:r>
        </a:p>
        <a:p>
          <a:pPr marL="171450" lvl="0" indent="-171450">
            <a:buFont typeface="Arial" panose="020B0604020202020204" pitchFamily="34" charset="0"/>
            <a:buChar char="•"/>
          </a:pPr>
          <a:r>
            <a:rPr lang="de-DE" sz="1100">
              <a:solidFill>
                <a:schemeClr val="dk1"/>
              </a:solidFill>
              <a:effectLst/>
              <a:latin typeface="+mn-lt"/>
              <a:ea typeface="+mn-ea"/>
              <a:cs typeface="+mn-cs"/>
            </a:rPr>
            <a:t>Weiterleitung der Information von zu kalten und zu warmen Klassenzimmern an den Hausmeister </a:t>
          </a:r>
        </a:p>
        <a:p>
          <a:pPr marL="171450" lvl="0" indent="-171450">
            <a:buFont typeface="Arial" panose="020B0604020202020204" pitchFamily="34" charset="0"/>
            <a:buChar char="•"/>
          </a:pPr>
          <a:r>
            <a:rPr lang="de-DE" sz="1100">
              <a:solidFill>
                <a:schemeClr val="dk1"/>
              </a:solidFill>
              <a:effectLst/>
              <a:latin typeface="+mn-lt"/>
              <a:ea typeface="+mn-ea"/>
              <a:cs typeface="+mn-cs"/>
            </a:rPr>
            <a:t>Workshop zur korrekten Heizungseinstellung in Privathaushalten</a:t>
          </a:r>
        </a:p>
        <a:p>
          <a:pPr marL="171450" lvl="0" indent="-171450">
            <a:buFont typeface="Arial" panose="020B0604020202020204" pitchFamily="34" charset="0"/>
            <a:buChar char="•"/>
          </a:pPr>
          <a:r>
            <a:rPr lang="de-DE" sz="1400">
              <a:solidFill>
                <a:schemeClr val="dk1"/>
              </a:solidFill>
              <a:effectLst/>
              <a:latin typeface="+mn-lt"/>
              <a:ea typeface="+mn-ea"/>
              <a:cs typeface="+mn-cs"/>
            </a:rPr>
            <a:t>...</a:t>
          </a:r>
        </a:p>
        <a:p>
          <a:endParaRPr lang="de-DE" sz="1100" b="0" i="0" u="none" strike="noStrike">
            <a:solidFill>
              <a:schemeClr val="dk1"/>
            </a:solidFill>
            <a:effectLst/>
            <a:latin typeface="+mn-lt"/>
            <a:ea typeface="+mn-ea"/>
            <a:cs typeface="+mn-cs"/>
          </a:endParaRPr>
        </a:p>
      </xdr:txBody>
    </xdr:sp>
    <xdr:clientData/>
  </xdr:twoCellAnchor>
  <xdr:twoCellAnchor>
    <xdr:from>
      <xdr:col>1</xdr:col>
      <xdr:colOff>1150010</xdr:colOff>
      <xdr:row>26</xdr:row>
      <xdr:rowOff>136583</xdr:rowOff>
    </xdr:from>
    <xdr:to>
      <xdr:col>10</xdr:col>
      <xdr:colOff>601206</xdr:colOff>
      <xdr:row>30</xdr:row>
      <xdr:rowOff>105983</xdr:rowOff>
    </xdr:to>
    <xdr:sp macro="" textlink="">
      <xdr:nvSpPr>
        <xdr:cNvPr id="7" name="Rechteck: abgerundete Ecken 6">
          <a:extLst>
            <a:ext uri="{FF2B5EF4-FFF2-40B4-BE49-F238E27FC236}">
              <a16:creationId xmlns:a16="http://schemas.microsoft.com/office/drawing/2014/main" id="{B748EC42-45FA-42F5-A2C6-AD1FDB7E9ACA}"/>
            </a:ext>
          </a:extLst>
        </xdr:cNvPr>
        <xdr:cNvSpPr/>
      </xdr:nvSpPr>
      <xdr:spPr>
        <a:xfrm>
          <a:off x="1519804" y="10031377"/>
          <a:ext cx="7855608" cy="921900"/>
        </a:xfrm>
        <a:prstGeom prst="roundRect">
          <a:avLst>
            <a:gd name="adj" fmla="val 9474"/>
          </a:avLst>
        </a:prstGeom>
        <a:solidFill>
          <a:srgbClr val="DF2C2A"/>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i="0">
              <a:solidFill>
                <a:schemeClr val="lt1"/>
              </a:solidFill>
              <a:effectLst/>
              <a:latin typeface="+mn-lt"/>
              <a:ea typeface="+mn-ea"/>
              <a:cs typeface="+mn-cs"/>
            </a:rPr>
            <a:t>Hinweis</a:t>
          </a:r>
          <a:r>
            <a:rPr lang="de-DE" sz="1100" b="0" i="0">
              <a:solidFill>
                <a:schemeClr val="lt1"/>
              </a:solidFill>
              <a:effectLst/>
              <a:latin typeface="+mn-lt"/>
              <a:ea typeface="+mn-ea"/>
              <a:cs typeface="+mn-cs"/>
            </a:rPr>
            <a:t>:</a:t>
          </a:r>
          <a:r>
            <a:rPr lang="de-DE" sz="1100" b="0" i="0" baseline="0">
              <a:solidFill>
                <a:schemeClr val="lt1"/>
              </a:solidFill>
              <a:effectLst/>
              <a:latin typeface="+mn-lt"/>
              <a:ea typeface="+mn-ea"/>
              <a:cs typeface="+mn-cs"/>
            </a:rPr>
            <a:t> Die Maßnahmen im Klimaschutzplan können nicht immer eindeutig einem bestimmten Handlungsfeld zugeordnet werden. Vielmehr können bestimmte Maßnahmen zu mehreren Handlungsfeldern passen, da es inhaltliche Überschneidungen gibt. Bitte entscheiden Sie selbst, welches Handlungfeld am besten zur jeweiligen Maßnahme passt. Geben Sie jede Maßnahme aber nur einmal im Klimaschutzplan an. </a:t>
          </a:r>
          <a:endParaRPr lang="de-DE" sz="1100"/>
        </a:p>
      </xdr:txBody>
    </xdr:sp>
    <xdr:clientData/>
  </xdr:twoCellAnchor>
  <xdr:twoCellAnchor editAs="oneCell">
    <xdr:from>
      <xdr:col>0</xdr:col>
      <xdr:colOff>299198</xdr:colOff>
      <xdr:row>26</xdr:row>
      <xdr:rowOff>95250</xdr:rowOff>
    </xdr:from>
    <xdr:to>
      <xdr:col>1</xdr:col>
      <xdr:colOff>923423</xdr:colOff>
      <xdr:row>30</xdr:row>
      <xdr:rowOff>130438</xdr:rowOff>
    </xdr:to>
    <xdr:pic>
      <xdr:nvPicPr>
        <xdr:cNvPr id="9" name="Grafik 8">
          <a:extLst>
            <a:ext uri="{FF2B5EF4-FFF2-40B4-BE49-F238E27FC236}">
              <a16:creationId xmlns:a16="http://schemas.microsoft.com/office/drawing/2014/main" id="{E489F615-146F-4F81-AA40-C5CABC60D66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20918923">
          <a:off x="299198" y="9990044"/>
          <a:ext cx="994019" cy="9876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AK%20Klimaschule%20Bayern\CO2-Einsparungstool\Kopie%20von%20LENK_Planungstabelle_Klimaschule_Bayern_ink.%20Einsparungsrechner_ohne%20Beispiele.xlsx" TargetMode="External"/><Relationship Id="rId1" Type="http://schemas.openxmlformats.org/officeDocument/2006/relationships/externalLinkPath" Target="Kopie%20von%20LENK_Planungstabelle_Klimaschule_Bayern_ink.%20Einsparungsrechner_ohne%20Beispie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49176\Desktop\AK%20Klimaschule%20Bayern\CO2-Rechner\Emissionsfaktoren\2022-10-27%20Aufstellung%20der%20Emissionsfaktoren%20Klimaschule%20Bayern.xlsx" TargetMode="External"/><Relationship Id="rId1" Type="http://schemas.openxmlformats.org/officeDocument/2006/relationships/externalLinkPath" Target="/Users/49176/Desktop/AK%20Klimaschule%20Bayern/CO2-Rechner/Emissionsfaktoren/2022-10-27%20Aufstellung%20der%20Emissionsfaktoren%20Klimaschule%20Bayer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Überblick"/>
      <sheetName val="Abfall"/>
      <sheetName val="Einkauf"/>
      <sheetName val="Ernährung"/>
      <sheetName val="Kommunikation"/>
      <sheetName val="Kompensation &amp; C-Bindung"/>
      <sheetName val="Mobilität "/>
      <sheetName val="Strom"/>
      <sheetName val="Wärme"/>
      <sheetName val="Quellen"/>
      <sheetName val="Hilfe"/>
      <sheetName val="Faktoren"/>
      <sheetName val="Übersicht Emissionsfaktoren"/>
      <sheetName val="Schlüsselprojekt"/>
      <sheetName val="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4">
          <cell r="E84">
            <v>0.152</v>
          </cell>
        </row>
        <row r="85">
          <cell r="E85">
            <v>2.7E-2</v>
          </cell>
        </row>
        <row r="88">
          <cell r="E88">
            <v>3.5999999999999997E-2</v>
          </cell>
        </row>
        <row r="91">
          <cell r="E91">
            <v>0.247</v>
          </cell>
        </row>
        <row r="93">
          <cell r="E93">
            <v>0.4224</v>
          </cell>
        </row>
        <row r="97">
          <cell r="E97">
            <v>0.19228336495888676</v>
          </cell>
        </row>
        <row r="98">
          <cell r="E98">
            <v>0.21682352941176469</v>
          </cell>
        </row>
        <row r="100">
          <cell r="E100">
            <v>3.4155597722960153E-2</v>
          </cell>
        </row>
        <row r="101">
          <cell r="E101">
            <v>0.04</v>
          </cell>
        </row>
        <row r="102">
          <cell r="E102">
            <v>0.27599999999999997</v>
          </cell>
        </row>
        <row r="105">
          <cell r="E105">
            <v>0.318</v>
          </cell>
        </row>
        <row r="106">
          <cell r="E106">
            <v>0.438</v>
          </cell>
        </row>
        <row r="107">
          <cell r="E107">
            <v>3.1</v>
          </cell>
        </row>
        <row r="108">
          <cell r="E108">
            <v>3.8</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Übersicht Emissionsfaktoren"/>
      <sheetName val="Berechnung Gerichte"/>
    </sheetNames>
    <sheetDataSet>
      <sheetData sheetId="0"/>
      <sheetData sheetId="1">
        <row r="24">
          <cell r="B24">
            <v>1.6</v>
          </cell>
          <cell r="C24">
            <v>0.8</v>
          </cell>
          <cell r="D24">
            <v>0.6</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56651EC-7E43-4D59-A3E1-21FF0F8FD34C}" name="Tabelle4" displayName="Tabelle4" ref="M16:O25" totalsRowShown="0" headerRowDxfId="98" dataDxfId="97">
  <autoFilter ref="M16:O25" xr:uid="{B56651EC-7E43-4D59-A3E1-21FF0F8FD34C}">
    <filterColumn colId="0" hiddenButton="1"/>
    <filterColumn colId="1" hiddenButton="1"/>
    <filterColumn colId="2" hiddenButton="1"/>
  </autoFilter>
  <tableColumns count="3">
    <tableColumn id="1" xr3:uid="{BF73B497-C6B3-472C-9240-8073099CF265}" name="Energieträger" dataDxfId="96"/>
    <tableColumn id="2" xr3:uid="{E1EA6F08-276B-47A4-ABA1-F902977DE85A}" name="Energieträgerverbrauch (Endenergie)" dataDxfId="95"/>
    <tableColumn id="3" xr3:uid="{C9BDE939-BA0C-429D-A067-99183208C0DE}" name="Nutzenergie in kWh " dataDxfId="9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DC4C40-66BE-4B59-A25D-328CAFAD3105}" name="Tabelle1" displayName="Tabelle1" ref="B3:F163" totalsRowShown="0" headerRowDxfId="93">
  <autoFilter ref="B3:F163" xr:uid="{F7DC4C40-66BE-4B59-A25D-328CAFAD3105}"/>
  <tableColumns count="5">
    <tableColumn id="1" xr3:uid="{E220D1D0-13AB-42D1-9E01-035A186436E6}" name="Sektor"/>
    <tableColumn id="2" xr3:uid="{53080947-8389-4DE6-A75D-D50B002D0D86}" name="Maßnahme"/>
    <tableColumn id="3" xr3:uid="{DAF0DFCB-91DB-4B26-9767-412852740D15}" name="Einheit"/>
    <tableColumn id="4" xr3:uid="{7DC57015-A086-4D25-8BF9-DBFFC54F26BA}" name="Einsparungsfaktor pro Einheit"/>
    <tableColumn id="5" xr3:uid="{D9B21E9F-6B1B-4F0C-B7C5-80514C88BDF3}" name="Quelle"/>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klimaschule.bayern.de/klimaschutzplan/" TargetMode="Externa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ifeu.de/fileadmin/uploads/Reinhardt-Gaertner-Wagner-2020-Oekologische-Fu%C3%9Fabdruecke-von-Lebensmitteln-und-Gerichten-in-Deutschland-ifeu-2020.pdf" TargetMode="External"/><Relationship Id="rId18" Type="http://schemas.openxmlformats.org/officeDocument/2006/relationships/hyperlink" Target="https://www.statistik-bw.de/DatenMelden/Formularservice/33_A_Umrechnungsfaktoren.pdf" TargetMode="External"/><Relationship Id="rId26" Type="http://schemas.openxmlformats.org/officeDocument/2006/relationships/hyperlink" Target="https://www.bafa.de/SharedDocs/Downloads/DE/Energie/eew_infoblatt_co2_faktoren_2021.pdf?__blob=publicationFile&amp;v=5" TargetMode="External"/><Relationship Id="rId39" Type="http://schemas.openxmlformats.org/officeDocument/2006/relationships/hyperlink" Target="https://www.google.com/url?sa=t&amp;rct=j&amp;q=&amp;esrc=s&amp;source=web&amp;cd=&amp;ved=2ahUKEwiiztSCwOv3AhWLQvEDHfovCI8QFnoECAYQAQ&amp;url=https%3A%2F%2Fwww.umweltbundesamt.de%2Fsites%2Fdefault%2Ffiles%2Fmedien%2Fpublikation%2Flong%2F3476.pdf&amp;usg=AOvVaw0sMFtTuiahaNbZKRRCthDo" TargetMode="External"/><Relationship Id="rId21" Type="http://schemas.openxmlformats.org/officeDocument/2006/relationships/hyperlink" Target="https://www.umweltbundesamt.de/sites/default/files/medien/1410/publikationen/2021-12-13_climate-change_71-2021_emissionsbilanz_erneuerbarer_energien_2020.pdf" TargetMode="External"/><Relationship Id="rId34" Type="http://schemas.openxmlformats.org/officeDocument/2006/relationships/hyperlink" Target="https://www.gov.uk/government/publications/greenhouse-gas-reporting-conversion-factors-2021" TargetMode="External"/><Relationship Id="rId42" Type="http://schemas.openxmlformats.org/officeDocument/2006/relationships/hyperlink" Target="https://www.geg-info.de/geg/anlage_09_umrechnung_in_treibhausgasemissionen.htm" TargetMode="External"/><Relationship Id="rId47" Type="http://schemas.openxmlformats.org/officeDocument/2006/relationships/hyperlink" Target="https://www.gov.uk/government/publications/greenhouse-gas-reporting-conversion-factors-2021" TargetMode="External"/><Relationship Id="rId50" Type="http://schemas.openxmlformats.org/officeDocument/2006/relationships/hyperlink" Target="https://www.gov.uk/government/publications/greenhouse-gas-reporting-conversion-factors-2021" TargetMode="External"/><Relationship Id="rId55" Type="http://schemas.openxmlformats.org/officeDocument/2006/relationships/hyperlink" Target="https://www.gov.uk/government/publications/greenhouse-gas-reporting-conversion-factors-2021" TargetMode="External"/><Relationship Id="rId7" Type="http://schemas.openxmlformats.org/officeDocument/2006/relationships/hyperlink" Target="https://www.ifeu.de/fileadmin/uploads/Reinhardt-Gaertner-Wagner-2020-Oekologische-Fu%C3%9Fabdruecke-von-Lebensmitteln-und-Gerichten-in-Deutschland-ifeu-2020.pdf" TargetMode="External"/><Relationship Id="rId2" Type="http://schemas.openxmlformats.org/officeDocument/2006/relationships/hyperlink" Target="https://www.ifeu.de/fileadmin/uploads/Reinhardt-Gaertner-Wagner-2020-Oekologische-Fu%C3%9Fabdruecke-von-Lebensmitteln-und-Gerichten-in-Deutschland-ifeu-2020.pdf" TargetMode="External"/><Relationship Id="rId16" Type="http://schemas.openxmlformats.org/officeDocument/2006/relationships/hyperlink" Target="https://www.epowers.org/elektro-scooter/co2-bilanz/" TargetMode="External"/><Relationship Id="rId29" Type="http://schemas.openxmlformats.org/officeDocument/2006/relationships/hyperlink" Target="https://www.gov.uk/government/publications/greenhouse-gas-reporting-conversion-factors-2021" TargetMode="External"/><Relationship Id="rId11" Type="http://schemas.openxmlformats.org/officeDocument/2006/relationships/hyperlink" Target="https://www.ifeu.de/fileadmin/uploads/Reinhardt-Gaertner-Wagner-2020-Oekologische-Fu%C3%9Fabdruecke-von-Lebensmitteln-und-Gerichten-in-Deutschland-ifeu-2020.pdf" TargetMode="External"/><Relationship Id="rId24" Type="http://schemas.openxmlformats.org/officeDocument/2006/relationships/hyperlink" Target="https://www.bafa.de/SharedDocs/Downloads/DE/Energie/eew_infoblatt_co2_faktoren_2021.pdf?__blob=publicationFile&amp;v=5" TargetMode="External"/><Relationship Id="rId32" Type="http://schemas.openxmlformats.org/officeDocument/2006/relationships/hyperlink" Target="https://www.gov.uk/government/publications/greenhouse-gas-reporting-conversion-factors-2021" TargetMode="External"/><Relationship Id="rId37" Type="http://schemas.openxmlformats.org/officeDocument/2006/relationships/hyperlink" Target="https://www.bafa.de/SharedDocs/Downloads/DE/Energie/eew_infoblatt_co2_faktoren_2021.pdf?__blob=publicationFile&amp;v=5" TargetMode="External"/><Relationship Id="rId40" Type="http://schemas.openxmlformats.org/officeDocument/2006/relationships/hyperlink" Target="https://www.google.com/url?sa=t&amp;rct=j&amp;q=&amp;esrc=s&amp;source=web&amp;cd=&amp;ved=2ahUKEwiiztSCwOv3AhWLQvEDHfovCI8QFnoECAYQAQ&amp;url=https%3A%2F%2Fwww.umweltbundesamt.de%2Fsites%2Fdefault%2Ffiles%2Fmedien%2Fpublikation%2Flong%2F3476.pdf&amp;usg=AOvVaw0sMFtTuiahaNbZKRRCthDo" TargetMode="External"/><Relationship Id="rId45" Type="http://schemas.openxmlformats.org/officeDocument/2006/relationships/hyperlink" Target="https://www.gov.uk/government/publications/greenhouse-gas-reporting-conversion-factors-2021" TargetMode="External"/><Relationship Id="rId53" Type="http://schemas.openxmlformats.org/officeDocument/2006/relationships/hyperlink" Target="https://www.umweltbundesamt.de/themen/verkehr-laerm/emissionsdaten" TargetMode="External"/><Relationship Id="rId58" Type="http://schemas.openxmlformats.org/officeDocument/2006/relationships/hyperlink" Target="https://www.lwf.bayern.de/mam/cms04/service/dateien/mb-12-energiegehalt-holz.pdf" TargetMode="External"/><Relationship Id="rId5" Type="http://schemas.openxmlformats.org/officeDocument/2006/relationships/hyperlink" Target="https://www.ifeu.de/fileadmin/uploads/Reinhardt-Gaertner-Wagner-2020-Oekologische-Fu%C3%9Fabdruecke-von-Lebensmitteln-und-Gerichten-in-Deutschland-ifeu-2020.pdf" TargetMode="External"/><Relationship Id="rId61" Type="http://schemas.openxmlformats.org/officeDocument/2006/relationships/hyperlink" Target="https://www.lwf.bayern.de/mam/cms04/service/dateien/mb-12-energiegehalt-holz.pdf" TargetMode="External"/><Relationship Id="rId19" Type="http://schemas.openxmlformats.org/officeDocument/2006/relationships/hyperlink" Target="https://www.umweltbundesamt.de/sites/default/files/medien/1410/publikationen/2021-12-13_climate-change_71-2021_emissionsbilanz_erneuerbarer_energien_2020.pdf" TargetMode="External"/><Relationship Id="rId14" Type="http://schemas.openxmlformats.org/officeDocument/2006/relationships/hyperlink" Target="https://www.umweltbundesamt.de/themen/verkehr-laerm/emissionsdaten" TargetMode="External"/><Relationship Id="rId22" Type="http://schemas.openxmlformats.org/officeDocument/2006/relationships/hyperlink" Target="https://www.bafa.de/SharedDocs/Downloads/DE/Energie/eew_infoblatt_co2_faktoren_2021.pdf?__blob=publicationFile&amp;v=5" TargetMode="External"/><Relationship Id="rId27" Type="http://schemas.openxmlformats.org/officeDocument/2006/relationships/hyperlink" Target="https://www.bafa.de/SharedDocs/Downloads/DE/Energie/eew_infoblatt_co2_faktoren_2021.pdf?__blob=publicationFile&amp;v=5" TargetMode="External"/><Relationship Id="rId30" Type="http://schemas.openxmlformats.org/officeDocument/2006/relationships/hyperlink" Target="https://www.ifeu.de/fileadmin/uploads/Reinhardt-Gaertner-Wagner-2020-Oekologische-Fu%C3%9Fabdruecke-von-Lebensmitteln-und-Gerichten-in-Deutschland-ifeu-2020.pdf" TargetMode="External"/><Relationship Id="rId35" Type="http://schemas.openxmlformats.org/officeDocument/2006/relationships/hyperlink" Target="https://www.statistik-bw.de/DatenMelden/Formularservice/33_A_Umrechnungsfaktoren.pdf" TargetMode="External"/><Relationship Id="rId43" Type="http://schemas.openxmlformats.org/officeDocument/2006/relationships/hyperlink" Target="https://www.gov.uk/government/publications/greenhouse-gas-reporting-conversion-factors-2021" TargetMode="External"/><Relationship Id="rId48" Type="http://schemas.openxmlformats.org/officeDocument/2006/relationships/hyperlink" Target="https://www.gov.uk/government/publications/greenhouse-gas-reporting-conversion-factors-2021" TargetMode="External"/><Relationship Id="rId56" Type="http://schemas.openxmlformats.org/officeDocument/2006/relationships/hyperlink" Target="https://www.gov.uk/government/publications/greenhouse-gas-reporting-conversion-factors-2021" TargetMode="External"/><Relationship Id="rId8" Type="http://schemas.openxmlformats.org/officeDocument/2006/relationships/hyperlink" Target="https://www.ifeu.de/fileadmin/uploads/Reinhardt-Gaertner-Wagner-2020-Oekologische-Fu%C3%9Fabdruecke-von-Lebensmitteln-und-Gerichten-in-Deutschland-ifeu-2020.pdf" TargetMode="External"/><Relationship Id="rId51" Type="http://schemas.openxmlformats.org/officeDocument/2006/relationships/hyperlink" Target="https://www.gov.uk/government/publications/greenhouse-gas-reporting-conversion-factors-2021" TargetMode="External"/><Relationship Id="rId3" Type="http://schemas.openxmlformats.org/officeDocument/2006/relationships/hyperlink" Target="https://www.ifeu.de/fileadmin/uploads/Reinhardt-Gaertner-Wagner-2020-Oekologische-Fu%C3%9Fabdruecke-von-Lebensmitteln-und-Gerichten-in-Deutschland-ifeu-2020.pdf" TargetMode="External"/><Relationship Id="rId12" Type="http://schemas.openxmlformats.org/officeDocument/2006/relationships/hyperlink" Target="https://www.ifeu.de/fileadmin/uploads/Reinhardt-Gaertner-Wagner-2020-Oekologische-Fu%C3%9Fabdruecke-von-Lebensmitteln-und-Gerichten-in-Deutschland-ifeu-2020.pdf" TargetMode="External"/><Relationship Id="rId17" Type="http://schemas.openxmlformats.org/officeDocument/2006/relationships/hyperlink" Target="https://www.epowers.org/elektro-scooter/co2-bilanz/" TargetMode="External"/><Relationship Id="rId25" Type="http://schemas.openxmlformats.org/officeDocument/2006/relationships/hyperlink" Target="https://www.bafa.de/SharedDocs/Downloads/DE/Energie/eew_infoblatt_co2_faktoren_2021.pdf?__blob=publicationFile&amp;v=5" TargetMode="External"/><Relationship Id="rId33" Type="http://schemas.openxmlformats.org/officeDocument/2006/relationships/hyperlink" Target="https://www.bafa.de/SharedDocs/Downloads/DE/Energie/eew_infoblatt_co2_faktoren_2021.pdf?__blob=publicationFile&amp;v=5" TargetMode="External"/><Relationship Id="rId38" Type="http://schemas.openxmlformats.org/officeDocument/2006/relationships/hyperlink" Target="https://www.google.com/url?sa=t&amp;rct=j&amp;q=&amp;esrc=s&amp;source=web&amp;cd=&amp;ved=2ahUKEwiiztSCwOv3AhWLQvEDHfovCI8QFnoECAYQAQ&amp;url=https%3A%2F%2Fwww.umweltbundesamt.de%2Fsites%2Fdefault%2Ffiles%2Fmedien%2Fpublikation%2Flong%2F3476.pdf&amp;usg=AOvVaw0sMFtTuiahaNbZKRRCthDo" TargetMode="External"/><Relationship Id="rId46" Type="http://schemas.openxmlformats.org/officeDocument/2006/relationships/hyperlink" Target="https://www.gov.uk/government/publications/greenhouse-gas-reporting-conversion-factors-2021" TargetMode="External"/><Relationship Id="rId59" Type="http://schemas.openxmlformats.org/officeDocument/2006/relationships/hyperlink" Target="https://www.lwf.bayern.de/mam/cms04/service/dateien/mb-12-energiegehalt-holz.pdf" TargetMode="External"/><Relationship Id="rId20" Type="http://schemas.openxmlformats.org/officeDocument/2006/relationships/hyperlink" Target="https://www.umweltbundesamt.de/sites/default/files/medien/1410/publikationen/2021-12-13_climate-change_71-2021_emissionsbilanz_erneuerbarer_energien_2020.pdf" TargetMode="External"/><Relationship Id="rId41" Type="http://schemas.openxmlformats.org/officeDocument/2006/relationships/hyperlink" Target="https://www.google.com/url?sa=t&amp;rct=j&amp;q=&amp;esrc=s&amp;source=web&amp;cd=&amp;ved=2ahUKEwiiztSCwOv3AhWLQvEDHfovCI8QFnoECAYQAQ&amp;url=https%3A%2F%2Fwww.umweltbundesamt.de%2Fsites%2Fdefault%2Ffiles%2Fmedien%2Fpublikation%2Flong%2F3476.pdf&amp;usg=AOvVaw0sMFtTuiahaNbZKRRCthDo" TargetMode="External"/><Relationship Id="rId54" Type="http://schemas.openxmlformats.org/officeDocument/2006/relationships/hyperlink" Target="https://www.gov.uk/government/publications/greenhouse-gas-reporting-conversion-factors-2021" TargetMode="External"/><Relationship Id="rId62" Type="http://schemas.openxmlformats.org/officeDocument/2006/relationships/printerSettings" Target="../printerSettings/printerSettings11.bin"/><Relationship Id="rId1" Type="http://schemas.openxmlformats.org/officeDocument/2006/relationships/hyperlink" Target="https://www.ifeu.de/fileadmin/uploads/Reinhardt-Gaertner-Wagner-2020-Oekologische-Fu%C3%9Fabdruecke-von-Lebensmitteln-und-Gerichten-in-Deutschland-ifeu-2020.pdf" TargetMode="External"/><Relationship Id="rId6" Type="http://schemas.openxmlformats.org/officeDocument/2006/relationships/hyperlink" Target="https://www.ifeu.de/fileadmin/uploads/Reinhardt-Gaertner-Wagner-2020-Oekologische-Fu%C3%9Fabdruecke-von-Lebensmitteln-und-Gerichten-in-Deutschland-ifeu-2020.pdf" TargetMode="External"/><Relationship Id="rId15" Type="http://schemas.openxmlformats.org/officeDocument/2006/relationships/hyperlink" Target="https://www.umweltbundesamt.de/themen/klima-energie/energieversorgung/strom-waermeversorgung-in-zahlen?sprungmarke=Strommix" TargetMode="External"/><Relationship Id="rId23" Type="http://schemas.openxmlformats.org/officeDocument/2006/relationships/hyperlink" Target="https://www.bafa.de/SharedDocs/Downloads/DE/Energie/eew_infoblatt_co2_faktoren_2021.pdf?__blob=publicationFile&amp;v=5" TargetMode="External"/><Relationship Id="rId28" Type="http://schemas.openxmlformats.org/officeDocument/2006/relationships/hyperlink" Target="https://www.umweltbundesamt.de/themen/klima-energie/energieversorgung/strom-waermeversorgung-in-zahlen?sprungmarke=Strommix" TargetMode="External"/><Relationship Id="rId36" Type="http://schemas.openxmlformats.org/officeDocument/2006/relationships/hyperlink" Target="https://www.bafa.de/SharedDocs/Downloads/DE/Energie/eew_infoblatt_co2_faktoren_2021.pdf?__blob=publicationFile&amp;v=5" TargetMode="External"/><Relationship Id="rId49" Type="http://schemas.openxmlformats.org/officeDocument/2006/relationships/hyperlink" Target="https://www.gov.uk/government/publications/greenhouse-gas-reporting-conversion-factors-2021" TargetMode="External"/><Relationship Id="rId57" Type="http://schemas.openxmlformats.org/officeDocument/2006/relationships/hyperlink" Target="https://www.umweltbundesamt.de/publikationen/emissionsbilanz-erneuerbarer-energietraeger-2020" TargetMode="External"/><Relationship Id="rId10" Type="http://schemas.openxmlformats.org/officeDocument/2006/relationships/hyperlink" Target="https://www.ifeu.de/fileadmin/uploads/Reinhardt-Gaertner-Wagner-2020-Oekologische-Fu%C3%9Fabdruecke-von-Lebensmitteln-und-Gerichten-in-Deutschland-ifeu-2020.pdf" TargetMode="External"/><Relationship Id="rId31" Type="http://schemas.openxmlformats.org/officeDocument/2006/relationships/hyperlink" Target="https://www.ifeu.de/fileadmin/uploads/Reinhardt-Gaertner-Wagner-2020-Oekologische-Fu%C3%9Fabdruecke-von-Lebensmitteln-und-Gerichten-in-Deutschland-ifeu-2020.pdf" TargetMode="External"/><Relationship Id="rId44" Type="http://schemas.openxmlformats.org/officeDocument/2006/relationships/hyperlink" Target="https://www.oeko.de/fileadmin/oekodoc/Digitaler-CO2-Fussabdruck.pdf" TargetMode="External"/><Relationship Id="rId52" Type="http://schemas.openxmlformats.org/officeDocument/2006/relationships/hyperlink" Target="https://www.gov.uk/government/publications/greenhouse-gas-reporting-conversion-factors-2021" TargetMode="External"/><Relationship Id="rId60" Type="http://schemas.openxmlformats.org/officeDocument/2006/relationships/hyperlink" Target="https://www.lwf.bayern.de/mam/cms04/service/dateien/mb-12-energiegehalt-holz.pdf" TargetMode="External"/><Relationship Id="rId4" Type="http://schemas.openxmlformats.org/officeDocument/2006/relationships/hyperlink" Target="https://www.ifeu.de/fileadmin/uploads/Reinhardt-Gaertner-Wagner-2020-Oekologische-Fu%C3%9Fabdruecke-von-Lebensmitteln-und-Gerichten-in-Deutschland-ifeu-2020.pdf" TargetMode="External"/><Relationship Id="rId9" Type="http://schemas.openxmlformats.org/officeDocument/2006/relationships/hyperlink" Target="https://www.ifeu.de/fileadmin/uploads/Reinhardt-Gaertner-Wagner-2020-Oekologische-Fu%C3%9Fabdruecke-von-Lebensmitteln-und-Gerichten-in-Deutschland-ifeu-2020.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7:L48"/>
  <sheetViews>
    <sheetView showGridLines="0" zoomScale="85" zoomScaleNormal="85" zoomScaleSheetLayoutView="85" workbookViewId="0">
      <selection activeCell="E12" sqref="E12:F12"/>
    </sheetView>
  </sheetViews>
  <sheetFormatPr baseColWidth="10" defaultRowHeight="15" x14ac:dyDescent="0.25"/>
  <cols>
    <col min="2" max="2" width="7.42578125" customWidth="1"/>
    <col min="3" max="3" width="23.85546875" customWidth="1"/>
    <col min="4" max="4" width="37.28515625" customWidth="1"/>
    <col min="5" max="5" width="16.140625" customWidth="1"/>
    <col min="6" max="7" width="14.28515625" customWidth="1"/>
    <col min="8" max="8" width="11.5703125" customWidth="1"/>
    <col min="9" max="9" width="14.5703125" customWidth="1"/>
    <col min="10" max="10" width="12.5703125" bestFit="1" customWidth="1"/>
    <col min="11" max="12" width="12.28515625" customWidth="1"/>
  </cols>
  <sheetData>
    <row r="7" spans="2:12" ht="24" customHeight="1" x14ac:dyDescent="0.35">
      <c r="B7" s="27" t="s">
        <v>66</v>
      </c>
    </row>
    <row r="8" spans="2:12" ht="43.5" customHeight="1" x14ac:dyDescent="0.25">
      <c r="B8" s="191" t="s">
        <v>87</v>
      </c>
      <c r="C8" s="191"/>
      <c r="D8" s="191"/>
      <c r="E8" s="191"/>
      <c r="F8" s="191"/>
      <c r="G8" s="191"/>
      <c r="H8" s="191"/>
      <c r="I8" s="191"/>
      <c r="J8" s="191"/>
      <c r="K8" s="191"/>
      <c r="L8" s="191"/>
    </row>
    <row r="11" spans="2:12" ht="18.75" x14ac:dyDescent="0.3">
      <c r="B11" s="6" t="s">
        <v>55</v>
      </c>
    </row>
    <row r="12" spans="2:12" ht="18" customHeight="1" x14ac:dyDescent="0.25">
      <c r="B12" s="25" t="s">
        <v>81</v>
      </c>
      <c r="E12" s="189">
        <v>1500000</v>
      </c>
      <c r="F12" s="190"/>
      <c r="J12" s="16"/>
    </row>
    <row r="13" spans="2:12" ht="27" customHeight="1" x14ac:dyDescent="0.25">
      <c r="B13" s="17"/>
      <c r="J13" s="16"/>
    </row>
    <row r="14" spans="2:12" ht="27" customHeight="1" x14ac:dyDescent="0.3">
      <c r="B14" s="45" t="s">
        <v>67</v>
      </c>
      <c r="C14" s="26"/>
      <c r="F14" s="21"/>
      <c r="G14" s="21"/>
      <c r="J14" s="16"/>
    </row>
    <row r="15" spans="2:12" ht="48.75" customHeight="1" x14ac:dyDescent="0.25">
      <c r="B15" s="197" t="s">
        <v>82</v>
      </c>
      <c r="C15" s="198"/>
      <c r="D15" s="198"/>
      <c r="E15" s="198"/>
      <c r="F15" s="198"/>
      <c r="G15" s="198"/>
      <c r="H15" s="198"/>
      <c r="I15" s="198"/>
      <c r="J15" s="198"/>
      <c r="K15" s="198"/>
      <c r="L15" s="198"/>
    </row>
    <row r="16" spans="2:12" x14ac:dyDescent="0.25">
      <c r="B16" s="198"/>
      <c r="C16" s="198"/>
      <c r="D16" s="198"/>
      <c r="E16" s="198"/>
      <c r="F16" s="198"/>
      <c r="G16" s="198"/>
      <c r="H16" s="198"/>
      <c r="I16" s="198"/>
      <c r="J16" s="198"/>
      <c r="K16" s="198"/>
      <c r="L16" s="198"/>
    </row>
    <row r="17" spans="2:12" ht="24" customHeight="1" x14ac:dyDescent="0.45">
      <c r="B17" s="26"/>
      <c r="C17" s="192" t="s">
        <v>72</v>
      </c>
      <c r="D17" s="193"/>
      <c r="E17" s="193"/>
      <c r="F17" s="193"/>
      <c r="G17" s="194"/>
      <c r="I17" s="201" t="s">
        <v>679</v>
      </c>
      <c r="J17" s="201"/>
      <c r="K17" s="201"/>
      <c r="L17" s="201"/>
    </row>
    <row r="18" spans="2:12" ht="10.5" customHeight="1" x14ac:dyDescent="0.3">
      <c r="C18" s="22"/>
      <c r="D18" s="23"/>
      <c r="E18" s="23"/>
      <c r="F18" s="23"/>
      <c r="G18" s="24"/>
      <c r="I18" s="201"/>
      <c r="J18" s="201"/>
      <c r="K18" s="201"/>
      <c r="L18" s="201"/>
    </row>
    <row r="19" spans="2:12" ht="16.5" customHeight="1" x14ac:dyDescent="0.25">
      <c r="C19" s="46" t="s">
        <v>84</v>
      </c>
      <c r="D19" s="18"/>
      <c r="E19" s="19" t="s">
        <v>68</v>
      </c>
      <c r="F19" s="19" t="s">
        <v>69</v>
      </c>
      <c r="G19" s="20" t="s">
        <v>70</v>
      </c>
      <c r="I19" s="201"/>
      <c r="J19" s="201"/>
      <c r="K19" s="201"/>
      <c r="L19" s="201"/>
    </row>
    <row r="20" spans="2:12" ht="18.75" customHeight="1" x14ac:dyDescent="0.3">
      <c r="C20" s="195">
        <f>E12</f>
        <v>1500000</v>
      </c>
      <c r="D20" s="196"/>
      <c r="E20" s="75">
        <v>2025</v>
      </c>
      <c r="F20" s="23">
        <f>E20+3</f>
        <v>2028</v>
      </c>
      <c r="G20" s="24">
        <f>E20+7</f>
        <v>2032</v>
      </c>
      <c r="I20" s="201"/>
      <c r="J20" s="201"/>
      <c r="K20" s="201"/>
      <c r="L20" s="201"/>
    </row>
    <row r="21" spans="2:12" ht="24.95" customHeight="1" x14ac:dyDescent="0.25">
      <c r="C21" s="199" t="s">
        <v>28</v>
      </c>
      <c r="D21" s="200"/>
      <c r="E21" s="49">
        <f>Abfall!I13</f>
        <v>0</v>
      </c>
      <c r="F21" s="49">
        <f>Abfall!J13</f>
        <v>0</v>
      </c>
      <c r="G21" s="50">
        <f>Abfall!K13</f>
        <v>0</v>
      </c>
      <c r="I21" s="201"/>
      <c r="J21" s="201"/>
      <c r="K21" s="201"/>
      <c r="L21" s="201"/>
    </row>
    <row r="22" spans="2:12" ht="24.95" customHeight="1" x14ac:dyDescent="0.25">
      <c r="C22" s="199" t="s">
        <v>29</v>
      </c>
      <c r="D22" s="200"/>
      <c r="E22" s="49">
        <f>Einkauf!I13</f>
        <v>0</v>
      </c>
      <c r="F22" s="49">
        <f>Einkauf!J13</f>
        <v>0</v>
      </c>
      <c r="G22" s="50">
        <f>Einkauf!K13</f>
        <v>0</v>
      </c>
    </row>
    <row r="23" spans="2:12" ht="24.75" customHeight="1" x14ac:dyDescent="0.25">
      <c r="C23" s="199" t="s">
        <v>30</v>
      </c>
      <c r="D23" s="200"/>
      <c r="E23" s="49">
        <f>Ernährung!I13</f>
        <v>0</v>
      </c>
      <c r="F23" s="49">
        <f>Ernährung!J13</f>
        <v>0</v>
      </c>
      <c r="G23" s="50">
        <f>Ernährung!K13</f>
        <v>0</v>
      </c>
    </row>
    <row r="24" spans="2:12" ht="24.95" customHeight="1" x14ac:dyDescent="0.25">
      <c r="C24" s="199" t="s">
        <v>33</v>
      </c>
      <c r="D24" s="200"/>
      <c r="E24" s="49">
        <f>Kommunikation!I13</f>
        <v>0</v>
      </c>
      <c r="F24" s="49">
        <f>Kommunikation!J13</f>
        <v>0</v>
      </c>
      <c r="G24" s="50">
        <f>Kommunikation!K13</f>
        <v>0</v>
      </c>
    </row>
    <row r="25" spans="2:12" ht="24.95" customHeight="1" x14ac:dyDescent="0.25">
      <c r="C25" s="199" t="s">
        <v>34</v>
      </c>
      <c r="D25" s="200"/>
      <c r="E25" s="49">
        <f>'Mobilität '!I13</f>
        <v>0</v>
      </c>
      <c r="F25" s="49">
        <f>'Mobilität '!J13</f>
        <v>0</v>
      </c>
      <c r="G25" s="50">
        <f>'Mobilität '!K13</f>
        <v>0</v>
      </c>
    </row>
    <row r="26" spans="2:12" ht="24.95" customHeight="1" x14ac:dyDescent="0.25">
      <c r="C26" s="199" t="s">
        <v>31</v>
      </c>
      <c r="D26" s="200"/>
      <c r="E26" s="49">
        <f>Strom!I13</f>
        <v>0</v>
      </c>
      <c r="F26" s="49">
        <f>Strom!J13</f>
        <v>0</v>
      </c>
      <c r="G26" s="50">
        <f>Strom!K13</f>
        <v>0</v>
      </c>
    </row>
    <row r="27" spans="2:12" ht="30.75" customHeight="1" x14ac:dyDescent="0.25">
      <c r="C27" s="199" t="s">
        <v>32</v>
      </c>
      <c r="D27" s="200"/>
      <c r="E27" s="49">
        <f>Wärme!I13</f>
        <v>0</v>
      </c>
      <c r="F27" s="49">
        <f>Wärme!J13</f>
        <v>0</v>
      </c>
      <c r="G27" s="50">
        <f>Wärme!K13</f>
        <v>0</v>
      </c>
    </row>
    <row r="28" spans="2:12" ht="25.5" customHeight="1" x14ac:dyDescent="0.25">
      <c r="C28" s="202" t="s">
        <v>71</v>
      </c>
      <c r="D28" s="203"/>
      <c r="E28" s="51">
        <f>SUM(E21:E27)</f>
        <v>0</v>
      </c>
      <c r="F28" s="51">
        <f>SUM(F21:F27)</f>
        <v>0</v>
      </c>
      <c r="G28" s="52">
        <f>SUM(G21:G27)</f>
        <v>0</v>
      </c>
    </row>
    <row r="29" spans="2:12" ht="21.75" customHeight="1" x14ac:dyDescent="0.25">
      <c r="C29" s="204"/>
      <c r="D29" s="205"/>
      <c r="E29" s="53">
        <f>E28/E12</f>
        <v>0</v>
      </c>
      <c r="F29" s="53">
        <f>F28/E12</f>
        <v>0</v>
      </c>
      <c r="G29" s="54">
        <f>G28/E12</f>
        <v>0</v>
      </c>
    </row>
    <row r="30" spans="2:12" ht="21.75" customHeight="1" x14ac:dyDescent="0.25">
      <c r="C30" s="47"/>
      <c r="D30" s="48" t="s">
        <v>85</v>
      </c>
      <c r="E30" s="77">
        <f>C20-E28</f>
        <v>1500000</v>
      </c>
      <c r="F30" s="77">
        <f>C20-F28</f>
        <v>1500000</v>
      </c>
      <c r="G30" s="77">
        <f>C20-G28</f>
        <v>1500000</v>
      </c>
    </row>
    <row r="31" spans="2:12" ht="21.75" customHeight="1" x14ac:dyDescent="0.25">
      <c r="C31" s="206" t="s">
        <v>86</v>
      </c>
      <c r="D31" s="207"/>
      <c r="E31" s="210">
        <f>'Kompensation &amp; C-Bindung'!I13</f>
        <v>0</v>
      </c>
      <c r="F31" s="210">
        <f>'Kompensation &amp; C-Bindung'!J13</f>
        <v>0</v>
      </c>
      <c r="G31" s="210">
        <f>'Kompensation &amp; C-Bindung'!K13</f>
        <v>0</v>
      </c>
    </row>
    <row r="32" spans="2:12" ht="15" customHeight="1" x14ac:dyDescent="0.25">
      <c r="C32" s="208"/>
      <c r="D32" s="209"/>
      <c r="E32" s="211"/>
      <c r="F32" s="211"/>
      <c r="G32" s="211"/>
    </row>
    <row r="35" spans="2:12" ht="18.75" x14ac:dyDescent="0.3">
      <c r="B35" s="6" t="s">
        <v>26</v>
      </c>
    </row>
    <row r="36" spans="2:12" ht="64.5" customHeight="1" x14ac:dyDescent="0.25">
      <c r="B36" s="201" t="s">
        <v>80</v>
      </c>
      <c r="C36" s="201"/>
      <c r="D36" s="201"/>
      <c r="E36" s="201"/>
      <c r="F36" s="201"/>
      <c r="G36" s="201"/>
      <c r="H36" s="201"/>
      <c r="I36" s="201"/>
      <c r="J36" s="201"/>
      <c r="K36" s="201"/>
      <c r="L36" s="201"/>
    </row>
    <row r="37" spans="2:12" ht="18.75" x14ac:dyDescent="0.3">
      <c r="B37" s="6"/>
    </row>
    <row r="40" spans="2:12" ht="21" customHeight="1" x14ac:dyDescent="0.3">
      <c r="C40" s="8" t="s">
        <v>79</v>
      </c>
      <c r="D40" s="41"/>
      <c r="E40" s="10">
        <f>COUNTA(Abfall!F8:F12,Einkauf!F8:F12,Ernährung!F8:F12,Kommunikation!F8:F12,'Kompensation &amp; C-Bindung'!F8:F12,'Mobilität '!F8:F12,Strom!F8:F12,Wärme!F8:F12)</f>
        <v>2</v>
      </c>
      <c r="F40" s="9"/>
    </row>
    <row r="41" spans="2:12" ht="18.75" x14ac:dyDescent="0.3">
      <c r="E41" s="10"/>
      <c r="F41" s="9"/>
    </row>
    <row r="42" spans="2:12" ht="18" customHeight="1" x14ac:dyDescent="0.25">
      <c r="C42" s="42" t="s">
        <v>0</v>
      </c>
      <c r="D42" s="9"/>
      <c r="E42" s="11">
        <f>COUNTIF(Abfall!F8:F12,"umgesetzt")+COUNTIF(Einkauf!F8:F12,"umgesetzt")+COUNTIF(Ernährung!F8:F12,"umgesetzt")+COUNTIF(Kommunikation!F8:F12,"umgesetzt")+COUNTIF('Kompensation &amp; C-Bindung'!F8:F12,"umgesetzt")+COUNTIF('Mobilität '!F8:F12,"umgesetzt")+COUNTIF(Strom!F8:F12,"umgesetzt")+COUNTIF(Wärme!F8:F12,"umgesetzt")+ COUNTIF(Abfall!F8:F12,"wird laufend umgesetzt")+COUNTIF(Einkauf!F8:F12,"wird laufend umgesetzt")+COUNTIF(Ernährung!F8:F12,"wird laufend umgesetzt")+COUNTIF(Kommunikation!F8:F12,"wird laufend umgesetzt")+COUNTIF('Kompensation &amp; C-Bindung'!F8:F12,"wird laufend umgesetzt")+COUNTIF('Mobilität '!F8:F12,"wird laufend umgesetzt")+COUNTIF(Strom!F8:F12,"wird laufend umgesetzt")+COUNTIF(Wärme!F8:F12,"wird laufend umgesetzt")</f>
        <v>1</v>
      </c>
      <c r="F42" s="9"/>
    </row>
    <row r="43" spans="2:12" ht="17.25" customHeight="1" x14ac:dyDescent="0.25">
      <c r="C43" s="15"/>
      <c r="D43" s="9"/>
      <c r="E43" s="40"/>
      <c r="F43" s="9"/>
    </row>
    <row r="44" spans="2:12" ht="21.75" customHeight="1" x14ac:dyDescent="0.25">
      <c r="C44" s="42" t="s">
        <v>1</v>
      </c>
      <c r="D44" s="9"/>
      <c r="E44" s="12">
        <f>COUNTIF(Abfall!F8:F12,"in Umsetzung (Anfang)")+COUNTIF(Einkauf!F8:F12,"in Umsetzung (Anfang)")+COUNTIF(Ernährung!F8:F12,"in Umsetzung (Anfang)")+COUNTIF(Kommunikation!F8:F12,"in Umsetzung (Anfang)")+COUNTIF('Kompensation &amp; C-Bindung'!F8:F12,"in Umsetzung (Anfang)")+COUNTIF('Mobilität '!F8:F12,"in Umsetzung (Anfang)")+COUNTIF(Strom!F8:F12,"in Umsetzung (Anfang)")+COUNTIF(Wärme!F8:F12,"in Umsetzung (Anfang)")+COUNTIF(Abfall!F8:F12,"in Umsetzung (Mitte)")+COUNTIF(Einkauf!F8:F12,"in Umsetzung (Mitte)")+COUNTIF(Ernährung!F8:F12,"in Umsetzung (Mitte)")+COUNTIF(Kommunikation!F8:F12,"in Umsetzung (Mitte)")+COUNTIF('Kompensation &amp; C-Bindung'!F8:F12,"in Umsetzung (Mitte)")+COUNTIF('Mobilität '!F8:F12,"in Umsetzung (Mitte)")+COUNTIF(Strom!F8:F12,"in Umsetzung (Mitte)")+COUNTIF(Wärme!F8:F12,"in Umsetzung (Mitte)")+COUNTIF(Abfall!F8:F12,"in Umsetzung (Ende)")+COUNTIF(Einkauf!F8:F12,"in Umsetzung (Ende)")+COUNTIF(Ernährung!F8:F12,"in Umsetzung (Ende)")+COUNTIF(Kommunikation!F8:F12,"in Umsetzung (Ende)")+COUNTIF('Kompensation &amp; C-Bindung'!F8:F12,"in Umsetzung (Ende)")+COUNTIF('Mobilität '!F8:F12,"in Umsetzung (Ende)")+COUNTIF(Strom!F8:F12,"in Umsetzung (Ende)")+COUNTIF(Wärme!F8:F12,"in Umsetzung (Ende)")</f>
        <v>1</v>
      </c>
      <c r="F44" s="9"/>
    </row>
    <row r="45" spans="2:12" ht="21.75" customHeight="1" x14ac:dyDescent="0.25">
      <c r="C45" s="15"/>
      <c r="D45" s="9"/>
      <c r="E45" s="40"/>
      <c r="F45" s="9"/>
    </row>
    <row r="46" spans="2:12" ht="18.75" x14ac:dyDescent="0.25">
      <c r="C46" s="42" t="s">
        <v>2</v>
      </c>
      <c r="D46" s="9"/>
      <c r="E46" s="13">
        <f>COUNTIF(Abfall!F8:F12,"zukünftiger Termin")+COUNTIF(Einkauf!F8:F12,"zukünftiger Termin")+COUNTIF(Ernährung!F8:F12,"zukünftiger Termin")+COUNTIF(Kommunikation!F8:F12,"zukünftiger Termin")+COUNTIF('Kompensation &amp; C-Bindung'!F8:F12,"zukünftiger Termin")+COUNTIF('Mobilität '!F8:F12,"zukünftiger Termin")+COUNTIF(Strom!F8:F12,"zukünftiger Termin")+COUNTIF(Wärme!F8:F12,"zukünftiger Termin")</f>
        <v>0</v>
      </c>
    </row>
    <row r="47" spans="2:12" ht="18.75" x14ac:dyDescent="0.25">
      <c r="C47" s="15"/>
      <c r="D47" s="9"/>
      <c r="E47" s="40"/>
    </row>
    <row r="48" spans="2:12" ht="18.75" x14ac:dyDescent="0.25">
      <c r="C48" s="42" t="s">
        <v>27</v>
      </c>
      <c r="D48" s="9"/>
      <c r="E48" s="14">
        <f>COUNTIF(Abfall!F8:F12,"bisher nicht umgesetzt")+COUNTIF(Einkauf!F8:F12,"bisher nicht umgesetzt")+COUNTIF(Ernährung!F8:F12,"bisher nicht umgesetzt")+COUNTIF(Kommunikation!F8:F12,"bisher nicht umgesetzt")+COUNTIF('Kompensation &amp; C-Bindung'!F8:F12,"bisher nicht umgesetzt")+COUNTIF('Mobilität '!F8:F12,"bisher nicht umgesetzt")+COUNTIF(Strom!F8:F12,"bisher nicht umgesetzt")+COUNTIF(Wärme!F8:F12,"bisher nicht umgesetzt")+ COUNTIF(Abfall!F8:F12,"Umsetzung nicht möglich")+COUNTIF(Einkauf!F8:F12,"Umsetzung nicht möglich")+COUNTIF(Ernährung!F8:F12,"Umsetzung nicht möglich")+COUNTIF(Kommunikation!F8:F12,"Umsetzung nicht möglich")+COUNTIF('Kompensation &amp; C-Bindung'!F8:F12,"Umsetzung nicht möglich")+COUNTIF('Mobilität '!F8:F12,"Umsetzung nicht möglich")+COUNTIF(Strom!F8:F12,"Umsetzung nicht möglich")+COUNTIF(Wärme!F8:F12,"Umsetzung nicht möglich")</f>
        <v>0</v>
      </c>
    </row>
  </sheetData>
  <sheetProtection sheet="1" objects="1" scenarios="1"/>
  <mergeCells count="19">
    <mergeCell ref="B36:L36"/>
    <mergeCell ref="C25:D25"/>
    <mergeCell ref="C26:D26"/>
    <mergeCell ref="C27:D27"/>
    <mergeCell ref="C28:D29"/>
    <mergeCell ref="C31:D32"/>
    <mergeCell ref="E31:E32"/>
    <mergeCell ref="F31:F32"/>
    <mergeCell ref="G31:G32"/>
    <mergeCell ref="C21:D21"/>
    <mergeCell ref="C22:D22"/>
    <mergeCell ref="C23:D23"/>
    <mergeCell ref="C24:D24"/>
    <mergeCell ref="I17:L21"/>
    <mergeCell ref="E12:F12"/>
    <mergeCell ref="B8:L8"/>
    <mergeCell ref="C17:G17"/>
    <mergeCell ref="C20:D20"/>
    <mergeCell ref="B15:L16"/>
  </mergeCells>
  <phoneticPr fontId="2" type="noConversion"/>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13B20-8D75-4A5A-833B-200040015C6D}">
  <sheetPr codeName="Tabelle15"/>
  <dimension ref="A2:A15"/>
  <sheetViews>
    <sheetView workbookViewId="0">
      <selection activeCell="A6" sqref="A6"/>
    </sheetView>
  </sheetViews>
  <sheetFormatPr baseColWidth="10" defaultRowHeight="15" x14ac:dyDescent="0.25"/>
  <sheetData>
    <row r="2" spans="1:1" x14ac:dyDescent="0.25">
      <c r="A2" t="s">
        <v>634</v>
      </c>
    </row>
    <row r="4" spans="1:1" ht="15.75" x14ac:dyDescent="0.25">
      <c r="A4" s="146" t="s">
        <v>662</v>
      </c>
    </row>
    <row r="5" spans="1:1" x14ac:dyDescent="0.25">
      <c r="A5" t="s">
        <v>635</v>
      </c>
    </row>
    <row r="6" spans="1:1" x14ac:dyDescent="0.25">
      <c r="A6" t="s">
        <v>636</v>
      </c>
    </row>
    <row r="7" spans="1:1" x14ac:dyDescent="0.25">
      <c r="A7" t="s">
        <v>637</v>
      </c>
    </row>
    <row r="10" spans="1:1" x14ac:dyDescent="0.25">
      <c r="A10" s="137" t="s">
        <v>653</v>
      </c>
    </row>
    <row r="12" spans="1:1" x14ac:dyDescent="0.25">
      <c r="A12" t="s">
        <v>638</v>
      </c>
    </row>
    <row r="14" spans="1:1" x14ac:dyDescent="0.25">
      <c r="A14" t="s">
        <v>655</v>
      </c>
    </row>
    <row r="15" spans="1:1" x14ac:dyDescent="0.25">
      <c r="A15" t="s">
        <v>654</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0C17-46D8-4B93-AEEF-8680F72B3DF5}">
  <sheetPr codeName="Tabelle12">
    <pageSetUpPr autoPageBreaks="0"/>
  </sheetPr>
  <dimension ref="B49:O51"/>
  <sheetViews>
    <sheetView showGridLines="0" zoomScale="110" zoomScaleNormal="110" workbookViewId="0">
      <selection activeCell="B51" sqref="B51:O51"/>
    </sheetView>
  </sheetViews>
  <sheetFormatPr baseColWidth="10" defaultRowHeight="15" x14ac:dyDescent="0.25"/>
  <sheetData>
    <row r="49" spans="2:15" ht="15.75" x14ac:dyDescent="0.25">
      <c r="B49" s="270" t="s">
        <v>90</v>
      </c>
      <c r="C49" s="270"/>
      <c r="D49" s="270"/>
      <c r="E49" s="270"/>
      <c r="F49" s="270"/>
      <c r="G49" s="270"/>
      <c r="H49" s="270"/>
      <c r="I49" s="270"/>
      <c r="J49" s="270"/>
      <c r="K49" s="270"/>
      <c r="L49" s="270"/>
    </row>
    <row r="50" spans="2:15" ht="6" customHeight="1" x14ac:dyDescent="0.25">
      <c r="B50" s="78"/>
      <c r="C50" s="78"/>
      <c r="D50" s="78"/>
      <c r="E50" s="78"/>
      <c r="F50" s="78"/>
      <c r="G50" s="78"/>
      <c r="H50" s="78"/>
      <c r="I50" s="78"/>
      <c r="J50" s="78"/>
      <c r="K50" s="78"/>
      <c r="L50" s="78"/>
    </row>
    <row r="51" spans="2:15" x14ac:dyDescent="0.25">
      <c r="B51" s="271" t="s">
        <v>89</v>
      </c>
      <c r="C51" s="271"/>
      <c r="D51" s="271"/>
      <c r="E51" s="271"/>
      <c r="F51" s="271"/>
      <c r="G51" s="271"/>
      <c r="H51" s="271"/>
      <c r="I51" s="271"/>
      <c r="J51" s="271"/>
      <c r="K51" s="271"/>
      <c r="L51" s="271"/>
      <c r="M51" s="271"/>
      <c r="N51" s="271"/>
      <c r="O51" s="271"/>
    </row>
  </sheetData>
  <sheetProtection sheet="1" objects="1" scenarios="1"/>
  <mergeCells count="2">
    <mergeCell ref="B49:L49"/>
    <mergeCell ref="B51:O51"/>
  </mergeCells>
  <hyperlinks>
    <hyperlink ref="B51" r:id="rId1" xr:uid="{A6E92F75-7F01-4DE9-A94D-858DBEBF8212}"/>
  </hyperlinks>
  <pageMargins left="0.7" right="0.7" top="0.78740157499999996" bottom="0.78740157499999996" header="0.3" footer="0.3"/>
  <pageSetup paperSize="9" orientation="portrait" horizontalDpi="0"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1A2D-C6C1-43F9-AE0E-0F470DBDEE19}">
  <sheetPr codeName="Tabelle13"/>
  <dimension ref="B3:O163"/>
  <sheetViews>
    <sheetView topLeftCell="B61" zoomScale="101" zoomScaleNormal="80" workbookViewId="0">
      <selection activeCell="E77" sqref="E77"/>
    </sheetView>
  </sheetViews>
  <sheetFormatPr baseColWidth="10" defaultRowHeight="15" x14ac:dyDescent="0.25"/>
  <cols>
    <col min="2" max="2" width="24.5703125" bestFit="1" customWidth="1"/>
    <col min="3" max="3" width="67" customWidth="1"/>
    <col min="4" max="4" width="32.42578125" customWidth="1"/>
    <col min="5" max="5" width="39.42578125" customWidth="1"/>
    <col min="7" max="7" width="15" customWidth="1"/>
  </cols>
  <sheetData>
    <row r="3" spans="2:6" ht="32.25" customHeight="1" x14ac:dyDescent="0.25">
      <c r="B3" s="80" t="s">
        <v>108</v>
      </c>
      <c r="C3" s="80" t="s">
        <v>3</v>
      </c>
      <c r="D3" s="80" t="s">
        <v>109</v>
      </c>
      <c r="E3" s="80" t="s">
        <v>110</v>
      </c>
      <c r="F3" s="80" t="s">
        <v>514</v>
      </c>
    </row>
    <row r="4" spans="2:6" x14ac:dyDescent="0.25">
      <c r="B4" s="83" t="s">
        <v>28</v>
      </c>
      <c r="C4" s="83" t="s">
        <v>92</v>
      </c>
      <c r="D4" s="83" t="s">
        <v>106</v>
      </c>
      <c r="E4" s="86">
        <f>21.294*0.1</f>
        <v>2.1294</v>
      </c>
    </row>
    <row r="5" spans="2:6" x14ac:dyDescent="0.25">
      <c r="B5" s="83"/>
      <c r="C5" s="83" t="s">
        <v>532</v>
      </c>
      <c r="D5" s="83" t="s">
        <v>107</v>
      </c>
      <c r="E5" s="87">
        <f>E4*10</f>
        <v>21.294</v>
      </c>
    </row>
    <row r="6" spans="2:6" x14ac:dyDescent="0.25">
      <c r="B6" s="83"/>
      <c r="C6" s="83" t="s">
        <v>93</v>
      </c>
      <c r="D6" s="83" t="s">
        <v>106</v>
      </c>
      <c r="E6" s="86">
        <f>E7*0.2</f>
        <v>4.2587999999999999</v>
      </c>
    </row>
    <row r="7" spans="2:6" x14ac:dyDescent="0.25">
      <c r="B7" s="83"/>
      <c r="C7" s="83" t="s">
        <v>94</v>
      </c>
      <c r="D7" s="83" t="s">
        <v>107</v>
      </c>
      <c r="E7" s="87">
        <v>21.294</v>
      </c>
    </row>
    <row r="9" spans="2:6" x14ac:dyDescent="0.25">
      <c r="B9" t="s">
        <v>29</v>
      </c>
      <c r="C9" s="80" t="s">
        <v>111</v>
      </c>
      <c r="D9" t="s">
        <v>116</v>
      </c>
      <c r="E9" s="128">
        <f>'Übersicht Emissionsfaktoren'!E16-'Übersicht Emissionsfaktoren'!E17</f>
        <v>8.9812799999999977E-4</v>
      </c>
    </row>
    <row r="10" spans="2:6" x14ac:dyDescent="0.25">
      <c r="C10" s="80" t="s">
        <v>112</v>
      </c>
      <c r="E10" s="131">
        <f>'Übersicht Emissionsfaktoren'!E16</f>
        <v>4.58743824E-3</v>
      </c>
    </row>
    <row r="11" spans="2:6" x14ac:dyDescent="0.25">
      <c r="C11" s="80" t="s">
        <v>113</v>
      </c>
      <c r="E11" s="131">
        <f>'Übersicht Emissionsfaktoren'!E17</f>
        <v>3.6893102400000002E-3</v>
      </c>
    </row>
    <row r="12" spans="2:6" ht="30" x14ac:dyDescent="0.25">
      <c r="C12" s="80" t="s">
        <v>537</v>
      </c>
      <c r="E12" s="128">
        <f>'Übersicht Emissionsfaktoren'!E18-'Übersicht Emissionsfaktoren'!E20</f>
        <v>3.15E-2</v>
      </c>
    </row>
    <row r="13" spans="2:6" ht="30" x14ac:dyDescent="0.25">
      <c r="C13" s="80" t="s">
        <v>538</v>
      </c>
      <c r="E13" s="128">
        <f>'Übersicht Emissionsfaktoren'!E19-'Übersicht Emissionsfaktoren'!E21</f>
        <v>0.28350000000000009</v>
      </c>
    </row>
    <row r="14" spans="2:6" x14ac:dyDescent="0.25">
      <c r="C14" s="80" t="s">
        <v>533</v>
      </c>
      <c r="E14" s="128">
        <f>'Übersicht Emissionsfaktoren'!E19</f>
        <v>1.4480549999999999</v>
      </c>
    </row>
    <row r="15" spans="2:6" x14ac:dyDescent="0.25">
      <c r="C15" s="80" t="s">
        <v>534</v>
      </c>
      <c r="E15" s="128">
        <f>'Übersicht Emissionsfaktoren'!E21</f>
        <v>1.1645549999999998</v>
      </c>
    </row>
    <row r="16" spans="2:6" x14ac:dyDescent="0.25">
      <c r="C16" s="80" t="s">
        <v>535</v>
      </c>
      <c r="E16" s="128">
        <f>'Übersicht Emissionsfaktoren'!E18</f>
        <v>0.16089499999999998</v>
      </c>
    </row>
    <row r="17" spans="2:5" x14ac:dyDescent="0.25">
      <c r="C17" s="80" t="s">
        <v>536</v>
      </c>
      <c r="E17" s="128">
        <f>'Übersicht Emissionsfaktoren'!E20</f>
        <v>0.12939499999999998</v>
      </c>
    </row>
    <row r="18" spans="2:5" x14ac:dyDescent="0.25">
      <c r="C18" s="81" t="s">
        <v>531</v>
      </c>
      <c r="E18" s="127">
        <f>'Übersicht Emissionsfaktoren'!E22-'Übersicht Emissionsfaktoren'!E23</f>
        <v>3.6000743999999984E-4</v>
      </c>
    </row>
    <row r="19" spans="2:5" x14ac:dyDescent="0.25">
      <c r="C19" s="80" t="s">
        <v>115</v>
      </c>
      <c r="E19" s="131">
        <f>'Übersicht Emissionsfaktoren'!E22</f>
        <v>1.8387999999999998E-3</v>
      </c>
    </row>
    <row r="20" spans="2:5" x14ac:dyDescent="0.25">
      <c r="C20" s="80" t="s">
        <v>114</v>
      </c>
      <c r="E20" s="131">
        <f>'Übersicht Emissionsfaktoren'!E23</f>
        <v>1.47879256E-3</v>
      </c>
    </row>
    <row r="21" spans="2:5" x14ac:dyDescent="0.25">
      <c r="C21" s="80"/>
      <c r="E21" s="131"/>
    </row>
    <row r="23" spans="2:5" x14ac:dyDescent="0.25">
      <c r="B23" s="137" t="s">
        <v>30</v>
      </c>
      <c r="C23" s="80" t="s">
        <v>539</v>
      </c>
      <c r="E23" s="139">
        <f>'Übersicht Emissionsfaktoren'!E25-'Übersicht Emissionsfaktoren'!E24</f>
        <v>0.8</v>
      </c>
    </row>
    <row r="24" spans="2:5" x14ac:dyDescent="0.25">
      <c r="C24" s="80" t="s">
        <v>540</v>
      </c>
      <c r="E24" s="139">
        <f>'Übersicht Emissionsfaktoren'!E25-'Übersicht Emissionsfaktoren'!E26</f>
        <v>1</v>
      </c>
    </row>
    <row r="25" spans="2:5" x14ac:dyDescent="0.25">
      <c r="C25" s="80" t="s">
        <v>541</v>
      </c>
      <c r="E25" s="139">
        <f>'Übersicht Emissionsfaktoren'!E24-'Übersicht Emissionsfaktoren'!E26</f>
        <v>0.20000000000000007</v>
      </c>
    </row>
    <row r="26" spans="2:5" ht="30" x14ac:dyDescent="0.25">
      <c r="B26" t="s">
        <v>544</v>
      </c>
      <c r="C26" s="81" t="s">
        <v>542</v>
      </c>
      <c r="E26" s="141">
        <f>'Übersicht Emissionsfaktoren'!E28-'Übersicht Emissionsfaktoren'!E32</f>
        <v>-8.3999999999999991E-2</v>
      </c>
    </row>
    <row r="27" spans="2:5" x14ac:dyDescent="0.25">
      <c r="C27" s="81" t="s">
        <v>546</v>
      </c>
      <c r="E27" s="139">
        <f>'Übersicht Emissionsfaktoren'!E28-'Übersicht Emissionsfaktoren'!E36</f>
        <v>0.10899999999999999</v>
      </c>
    </row>
    <row r="28" spans="2:5" ht="30" x14ac:dyDescent="0.25">
      <c r="C28" s="81" t="s">
        <v>555</v>
      </c>
      <c r="E28" s="139">
        <f>'Übersicht Emissionsfaktoren'!E32-'Übersicht Emissionsfaktoren'!E36</f>
        <v>0.19299999999999998</v>
      </c>
    </row>
    <row r="29" spans="2:5" x14ac:dyDescent="0.25">
      <c r="C29" s="81" t="s">
        <v>521</v>
      </c>
      <c r="E29" s="139">
        <f>'Übersicht Emissionsfaktoren'!E45</f>
        <v>0.23199999999999998</v>
      </c>
    </row>
    <row r="30" spans="2:5" x14ac:dyDescent="0.25">
      <c r="B30" t="s">
        <v>545</v>
      </c>
      <c r="C30" s="80" t="s">
        <v>522</v>
      </c>
      <c r="E30" s="138">
        <f>'Übersicht Emissionsfaktoren'!E46</f>
        <v>5.6</v>
      </c>
    </row>
    <row r="31" spans="2:5" x14ac:dyDescent="0.25">
      <c r="C31" s="80" t="s">
        <v>523</v>
      </c>
      <c r="E31" s="139">
        <f>'Übersicht Emissionsfaktoren'!E47</f>
        <v>0.31919999999999998</v>
      </c>
    </row>
    <row r="32" spans="2:5" x14ac:dyDescent="0.25">
      <c r="C32" s="80" t="s">
        <v>547</v>
      </c>
      <c r="E32" s="138">
        <f>'Übersicht Emissionsfaktoren'!E48</f>
        <v>1.3592233009708736</v>
      </c>
    </row>
    <row r="33" spans="2:5" x14ac:dyDescent="0.25">
      <c r="C33" s="80" t="s">
        <v>524</v>
      </c>
      <c r="E33" s="139">
        <f>'Übersicht Emissionsfaktoren'!E49</f>
        <v>0.4</v>
      </c>
    </row>
    <row r="34" spans="2:5" x14ac:dyDescent="0.25">
      <c r="C34" s="80" t="s">
        <v>543</v>
      </c>
      <c r="E34" s="139">
        <f>'Übersicht Emissionsfaktoren'!E50-'Übersicht Emissionsfaktoren'!E126/1000</f>
        <v>0.51485100000000006</v>
      </c>
    </row>
    <row r="36" spans="2:5" x14ac:dyDescent="0.25">
      <c r="B36" t="s">
        <v>34</v>
      </c>
      <c r="C36" s="80" t="s">
        <v>525</v>
      </c>
      <c r="E36" s="139">
        <f>'Übersicht Emissionsfaktoren'!E53-'Übersicht Emissionsfaktoren'!E54</f>
        <v>0.12027826086956521</v>
      </c>
    </row>
    <row r="37" spans="2:5" x14ac:dyDescent="0.25">
      <c r="C37" s="80" t="s">
        <v>526</v>
      </c>
      <c r="E37" s="140">
        <f>'Übersicht Emissionsfaktoren'!E53</f>
        <v>0.21279999999999999</v>
      </c>
    </row>
    <row r="38" spans="2:5" x14ac:dyDescent="0.25">
      <c r="C38" s="80" t="s">
        <v>527</v>
      </c>
      <c r="E38" s="140">
        <f>'Übersicht Emissionsfaktoren'!E53-'Übersicht Emissionsfaktoren'!E56</f>
        <v>0.16009000000000001</v>
      </c>
    </row>
    <row r="39" spans="2:5" x14ac:dyDescent="0.25">
      <c r="C39" s="80" t="s">
        <v>554</v>
      </c>
      <c r="E39" s="140">
        <f>'Übersicht Emissionsfaktoren'!E56-'Übersicht Emissionsfaktoren'!E59</f>
        <v>2.9792608695652166E-2</v>
      </c>
    </row>
    <row r="40" spans="2:5" x14ac:dyDescent="0.25">
      <c r="C40" s="80" t="s">
        <v>550</v>
      </c>
      <c r="E40" s="140">
        <f>'Übersicht Emissionsfaktoren'!E73</f>
        <v>0.23020000000000002</v>
      </c>
    </row>
    <row r="41" spans="2:5" x14ac:dyDescent="0.25">
      <c r="C41" s="80" t="s">
        <v>551</v>
      </c>
      <c r="E41" s="140">
        <f>'Übersicht Emissionsfaktoren'!E55</f>
        <v>3.5999999999999997E-2</v>
      </c>
    </row>
    <row r="42" spans="2:5" ht="30" x14ac:dyDescent="0.25">
      <c r="C42" s="80" t="s">
        <v>552</v>
      </c>
      <c r="E42" s="140">
        <f>'Übersicht Emissionsfaktoren'!E73-'Übersicht Emissionsfaktoren'!E55</f>
        <v>0.19420000000000001</v>
      </c>
    </row>
    <row r="43" spans="2:5" ht="30" x14ac:dyDescent="0.25">
      <c r="C43" s="80" t="s">
        <v>553</v>
      </c>
      <c r="E43" s="140">
        <f>'Übersicht Emissionsfaktoren'!E73-'Übersicht Emissionsfaktoren'!E69</f>
        <v>0.16620000000000001</v>
      </c>
    </row>
    <row r="45" spans="2:5" ht="30" x14ac:dyDescent="0.25">
      <c r="B45" t="s">
        <v>31</v>
      </c>
      <c r="C45" s="80" t="s">
        <v>665</v>
      </c>
      <c r="E45" s="140">
        <f>'Übersicht Emissionsfaktoren'!E78-'Übersicht Emissionsfaktoren'!E78</f>
        <v>0</v>
      </c>
    </row>
    <row r="46" spans="2:5" ht="30" x14ac:dyDescent="0.25">
      <c r="C46" s="80" t="s">
        <v>666</v>
      </c>
      <c r="E46" s="140">
        <f>'Übersicht Emissionsfaktoren'!E78-'Übersicht Emissionsfaktoren'!E79</f>
        <v>0.374</v>
      </c>
    </row>
    <row r="47" spans="2:5" ht="30" x14ac:dyDescent="0.25">
      <c r="C47" s="80" t="s">
        <v>557</v>
      </c>
      <c r="E47" s="140">
        <f>'Übersicht Emissionsfaktoren'!E78-'Übersicht Emissionsfaktoren'!E79</f>
        <v>0.374</v>
      </c>
    </row>
    <row r="48" spans="2:5" ht="30" x14ac:dyDescent="0.25">
      <c r="C48" s="80" t="s">
        <v>530</v>
      </c>
      <c r="E48" s="140">
        <f>'Übersicht Emissionsfaktoren'!E78</f>
        <v>0.438</v>
      </c>
    </row>
    <row r="49" spans="2:8" x14ac:dyDescent="0.25">
      <c r="C49" s="80" t="s">
        <v>529</v>
      </c>
      <c r="E49" s="140">
        <f>'Übersicht Emissionsfaktoren'!E79</f>
        <v>6.4000000000000001E-2</v>
      </c>
    </row>
    <row r="50" spans="2:8" ht="45" x14ac:dyDescent="0.25">
      <c r="C50" s="80" t="s">
        <v>558</v>
      </c>
      <c r="E50" s="140">
        <f>'Übersicht Emissionsfaktoren'!E78-'Übersicht Emissionsfaktoren'!E80</f>
        <v>0.38228600000000001</v>
      </c>
    </row>
    <row r="51" spans="2:8" ht="30" x14ac:dyDescent="0.25">
      <c r="C51" s="83" t="s">
        <v>559</v>
      </c>
      <c r="E51" s="143">
        <f>'Übersicht Emissionsfaktoren'!E79-'Übersicht Emissionsfaktoren'!E80</f>
        <v>8.2860000000000017E-3</v>
      </c>
    </row>
    <row r="53" spans="2:8" x14ac:dyDescent="0.25">
      <c r="B53" s="137" t="s">
        <v>32</v>
      </c>
      <c r="C53" t="s">
        <v>601</v>
      </c>
    </row>
    <row r="54" spans="2:8" x14ac:dyDescent="0.25">
      <c r="C54" t="s">
        <v>571</v>
      </c>
    </row>
    <row r="55" spans="2:8" x14ac:dyDescent="0.25">
      <c r="C55" t="s">
        <v>599</v>
      </c>
    </row>
    <row r="56" spans="2:8" x14ac:dyDescent="0.25">
      <c r="C56" t="s">
        <v>600</v>
      </c>
    </row>
    <row r="57" spans="2:8" x14ac:dyDescent="0.25">
      <c r="E57" t="s">
        <v>633</v>
      </c>
    </row>
    <row r="58" spans="2:8" x14ac:dyDescent="0.25">
      <c r="C58" t="s">
        <v>560</v>
      </c>
      <c r="E58" s="140">
        <f>'Übersicht Emissionsfaktoren'!E84-'Übersicht Emissionsfaktoren'!E85/0.75</f>
        <v>0.11599999999999999</v>
      </c>
      <c r="G58">
        <f>'[1]Übersicht Emissionsfaktoren'!E84/1-'[1]Übersicht Emissionsfaktoren'!E85/0.7</f>
        <v>0.11342857142857142</v>
      </c>
      <c r="H58" t="s">
        <v>669</v>
      </c>
    </row>
    <row r="59" spans="2:8" x14ac:dyDescent="0.25">
      <c r="C59" t="s">
        <v>561</v>
      </c>
      <c r="E59" s="140">
        <f>'Übersicht Emissionsfaktoren'!E84-'Übersicht Emissionsfaktoren'!E88/0.8</f>
        <v>0.10700000000000001</v>
      </c>
      <c r="G59">
        <f>'[1]Übersicht Emissionsfaktoren'!E84-'[1]Übersicht Emissionsfaktoren'!E88/0.7</f>
        <v>0.10057142857142856</v>
      </c>
    </row>
    <row r="60" spans="2:8" x14ac:dyDescent="0.25">
      <c r="C60" t="s">
        <v>562</v>
      </c>
      <c r="E60" s="140">
        <f>'Übersicht Emissionsfaktoren'!E84-'Übersicht Emissionsfaktoren'!E100/0.96</f>
        <v>0.1164212523719165</v>
      </c>
      <c r="G60" s="9">
        <f>'[1]Übersicht Emissionsfaktoren'!E84-'[1]Übersicht Emissionsfaktoren'!E100/0.7</f>
        <v>0.10320628896719977</v>
      </c>
    </row>
    <row r="61" spans="2:8" x14ac:dyDescent="0.25">
      <c r="C61" t="s">
        <v>563</v>
      </c>
      <c r="E61" s="140">
        <f>'Übersicht Emissionsfaktoren'!E84-'Übersicht Emissionsfaktoren'!E101/0.96</f>
        <v>0.11033333333333332</v>
      </c>
      <c r="G61" s="157">
        <f>'[1]Übersicht Emissionsfaktoren'!E84-'[1]Übersicht Emissionsfaktoren'!E101</f>
        <v>0.11199999999999999</v>
      </c>
    </row>
    <row r="62" spans="2:8" x14ac:dyDescent="0.25">
      <c r="C62" t="s">
        <v>564</v>
      </c>
      <c r="E62" s="140">
        <f>'Übersicht Emissionsfaktoren'!E91/0.92-'Übersicht Emissionsfaktoren'!E84</f>
        <v>0.11647826086956523</v>
      </c>
      <c r="G62">
        <f>'[1]Übersicht Emissionsfaktoren'!E91/0.92-'[1]Übersicht Emissionsfaktoren'!E84</f>
        <v>0.11647826086956523</v>
      </c>
    </row>
    <row r="63" spans="2:8" x14ac:dyDescent="0.25">
      <c r="C63" t="s">
        <v>565</v>
      </c>
      <c r="E63" s="140">
        <f>'Übersicht Emissionsfaktoren'!E91/0.92-'Übersicht Emissionsfaktoren'!E85/0.75</f>
        <v>0.23247826086956522</v>
      </c>
      <c r="G63">
        <f>'[1]Übersicht Emissionsfaktoren'!E91/0.92-'[1]Übersicht Emissionsfaktoren'!E85/0.75</f>
        <v>0.23247826086956522</v>
      </c>
    </row>
    <row r="64" spans="2:8" x14ac:dyDescent="0.25">
      <c r="C64" t="s">
        <v>566</v>
      </c>
      <c r="E64" s="140">
        <f>'Übersicht Emissionsfaktoren'!E91/0.92-'Übersicht Emissionsfaktoren'!E88/0.8</f>
        <v>0.22347826086956524</v>
      </c>
      <c r="G64">
        <f>'[1]Übersicht Emissionsfaktoren'!E91/0.92-'[1]Übersicht Emissionsfaktoren'!E88/0.8</f>
        <v>0.22347826086956524</v>
      </c>
    </row>
    <row r="65" spans="3:8" x14ac:dyDescent="0.25">
      <c r="C65" t="s">
        <v>567</v>
      </c>
      <c r="E65" s="140">
        <f>'Übersicht Emissionsfaktoren'!E91/0.92-'Übersicht Emissionsfaktoren'!E97/0.96</f>
        <v>6.8183089037391509E-2</v>
      </c>
      <c r="G65" s="5">
        <f>'[1]Übersicht Emissionsfaktoren'!E91-'[1]Übersicht Emissionsfaktoren'!E97</f>
        <v>5.4716635041113237E-2</v>
      </c>
    </row>
    <row r="66" spans="3:8" x14ac:dyDescent="0.25">
      <c r="C66" t="s">
        <v>569</v>
      </c>
      <c r="E66" s="140">
        <f>'Übersicht Emissionsfaktoren'!E91/0.92-'Übersicht Emissionsfaktoren'!E98/0.96</f>
        <v>4.2620417732310317E-2</v>
      </c>
      <c r="G66">
        <f>'[1]Übersicht Emissionsfaktoren'!E91/0.92-'[1]Übersicht Emissionsfaktoren'!E98</f>
        <v>5.1654731457800529E-2</v>
      </c>
    </row>
    <row r="67" spans="3:8" x14ac:dyDescent="0.25">
      <c r="C67" t="s">
        <v>568</v>
      </c>
      <c r="E67" s="140">
        <f>'Übersicht Emissionsfaktoren'!E91/0.92-'Übersicht Emissionsfaktoren'!E100/0.96</f>
        <v>0.23289951324148173</v>
      </c>
      <c r="G67" s="140">
        <f>'[1]Übersicht Emissionsfaktoren'!E91/0.92-'[1]Übersicht Emissionsfaktoren'!E100</f>
        <v>0.23432266314660508</v>
      </c>
    </row>
    <row r="68" spans="3:8" x14ac:dyDescent="0.25">
      <c r="C68" t="s">
        <v>570</v>
      </c>
      <c r="E68" s="140">
        <f>'Übersicht Emissionsfaktoren'!E91/0.92-'Übersicht Emissionsfaktoren'!E101/0.96</f>
        <v>0.22681159420289854</v>
      </c>
      <c r="G68">
        <f>'[1]Übersicht Emissionsfaktoren'!E91/0.92-'[1]Übersicht Emissionsfaktoren'!E101</f>
        <v>0.22847826086956521</v>
      </c>
    </row>
    <row r="69" spans="3:8" x14ac:dyDescent="0.25">
      <c r="C69" t="s">
        <v>622</v>
      </c>
      <c r="E69" s="140">
        <f>'Übersicht Emissionsfaktoren'!E91/0.92-E136</f>
        <v>9.3473260869565228E-2</v>
      </c>
      <c r="G69">
        <f>'[1]Übersicht Emissionsfaktoren'!E91/0.92-0.175005</f>
        <v>9.3473260869565228E-2</v>
      </c>
      <c r="H69" t="s">
        <v>670</v>
      </c>
    </row>
    <row r="70" spans="3:8" x14ac:dyDescent="0.25">
      <c r="C70" t="s">
        <v>626</v>
      </c>
      <c r="E70" s="140">
        <f>'Übersicht Emissionsfaktoren'!E91/0.92-E137</f>
        <v>0.10523026086956522</v>
      </c>
      <c r="G70">
        <f>'[1]Übersicht Emissionsfaktoren'!E91/0.92-0.163248</f>
        <v>0.10523026086956522</v>
      </c>
      <c r="H70" t="s">
        <v>670</v>
      </c>
    </row>
    <row r="71" spans="3:8" x14ac:dyDescent="0.25">
      <c r="C71" t="s">
        <v>572</v>
      </c>
      <c r="E71" s="140">
        <f>'Übersicht Emissionsfaktoren'!$E$93/0.96-'Übersicht Emissionsfaktoren'!E84</f>
        <v>0.28800000000000003</v>
      </c>
      <c r="G71" s="9">
        <f>'[1]Übersicht Emissionsfaktoren'!E93-'[1]Übersicht Emissionsfaktoren'!E84</f>
        <v>0.27039999999999997</v>
      </c>
    </row>
    <row r="72" spans="3:8" x14ac:dyDescent="0.25">
      <c r="C72" t="s">
        <v>573</v>
      </c>
      <c r="E72" s="140">
        <f>'Übersicht Emissionsfaktoren'!$E$93/0.96-'Übersicht Emissionsfaktoren'!E85/0.75</f>
        <v>0.40400000000000003</v>
      </c>
      <c r="G72">
        <f>'[1]Übersicht Emissionsfaktoren'!E93-'[1]Übersicht Emissionsfaktoren'!E85/0.7</f>
        <v>0.38382857142857141</v>
      </c>
    </row>
    <row r="73" spans="3:8" x14ac:dyDescent="0.25">
      <c r="C73" t="s">
        <v>574</v>
      </c>
      <c r="E73" s="140">
        <f>'Übersicht Emissionsfaktoren'!$E$93/0.96-'Übersicht Emissionsfaktoren'!E88/0.8</f>
        <v>0.39500000000000002</v>
      </c>
    </row>
    <row r="74" spans="3:8" x14ac:dyDescent="0.25">
      <c r="C74" t="s">
        <v>575</v>
      </c>
      <c r="E74" s="140">
        <f>'Übersicht Emissionsfaktoren'!$E$93/0.96-'Übersicht Emissionsfaktoren'!E97/0.96</f>
        <v>0.23970482816782629</v>
      </c>
    </row>
    <row r="75" spans="3:8" x14ac:dyDescent="0.25">
      <c r="C75" t="s">
        <v>576</v>
      </c>
      <c r="E75" s="140">
        <f>'Übersicht Emissionsfaktoren'!$E$93/0.96-'Übersicht Emissionsfaktoren'!E98/0.96</f>
        <v>0.2141421568627451</v>
      </c>
    </row>
    <row r="76" spans="3:8" x14ac:dyDescent="0.25">
      <c r="C76" t="s">
        <v>577</v>
      </c>
      <c r="E76" s="140">
        <f>'Übersicht Emissionsfaktoren'!$E$93/0.96-'Übersicht Emissionsfaktoren'!E100/0.96</f>
        <v>0.40442125237191651</v>
      </c>
    </row>
    <row r="77" spans="3:8" x14ac:dyDescent="0.25">
      <c r="C77" t="s">
        <v>611</v>
      </c>
      <c r="E77" s="140">
        <f>'Übersicht Emissionsfaktoren'!$E$93/0.96-'Übersicht Emissionsfaktoren'!E101/0.96</f>
        <v>0.39833333333333332</v>
      </c>
    </row>
    <row r="78" spans="3:8" x14ac:dyDescent="0.25">
      <c r="C78" t="s">
        <v>621</v>
      </c>
      <c r="E78" s="140">
        <f>'Übersicht Emissionsfaktoren'!E93-E136</f>
        <v>0.247395</v>
      </c>
    </row>
    <row r="79" spans="3:8" x14ac:dyDescent="0.25">
      <c r="C79" t="s">
        <v>627</v>
      </c>
      <c r="E79" s="140">
        <f>'Übersicht Emissionsfaktoren'!E93-E137</f>
        <v>0.25915199999999999</v>
      </c>
    </row>
    <row r="80" spans="3:8" x14ac:dyDescent="0.25">
      <c r="C80" t="s">
        <v>602</v>
      </c>
      <c r="E80" s="140">
        <f>'Übersicht Emissionsfaktoren'!$E$96/0.96-'Übersicht Emissionsfaktoren'!E84</f>
        <v>0.17347965422728231</v>
      </c>
    </row>
    <row r="81" spans="3:5" x14ac:dyDescent="0.25">
      <c r="C81" t="s">
        <v>603</v>
      </c>
      <c r="E81" s="140">
        <f>'Übersicht Emissionsfaktoren'!$E$96/0.96-'Übersicht Emissionsfaktoren'!E85/0.75</f>
        <v>0.28947965422728233</v>
      </c>
    </row>
    <row r="82" spans="3:5" x14ac:dyDescent="0.25">
      <c r="C82" t="s">
        <v>604</v>
      </c>
      <c r="E82" s="140">
        <f>'Übersicht Emissionsfaktoren'!$E$96/0.96-'Übersicht Emissionsfaktoren'!E88/0.8</f>
        <v>0.28047965422728233</v>
      </c>
    </row>
    <row r="83" spans="3:5" x14ac:dyDescent="0.25">
      <c r="C83" t="s">
        <v>605</v>
      </c>
      <c r="E83" s="140">
        <f>'Übersicht Emissionsfaktoren'!$E$96/0.96-'Übersicht Emissionsfaktoren'!E97/0.96</f>
        <v>0.1251844823951086</v>
      </c>
    </row>
    <row r="84" spans="3:5" x14ac:dyDescent="0.25">
      <c r="C84" t="s">
        <v>606</v>
      </c>
      <c r="E84" s="140">
        <f>'Übersicht Emissionsfaktoren'!$E$96/0.96-'Übersicht Emissionsfaktoren'!E98/0.96</f>
        <v>9.9621811090027407E-2</v>
      </c>
    </row>
    <row r="85" spans="3:5" x14ac:dyDescent="0.25">
      <c r="C85" t="s">
        <v>607</v>
      </c>
      <c r="E85" s="140">
        <f>'Übersicht Emissionsfaktoren'!$E$96/0.96-'Übersicht Emissionsfaktoren'!E100/0.96</f>
        <v>0.28990090659919882</v>
      </c>
    </row>
    <row r="86" spans="3:5" x14ac:dyDescent="0.25">
      <c r="C86" t="s">
        <v>610</v>
      </c>
      <c r="E86" s="140">
        <f>'Übersicht Emissionsfaktoren'!$E$96/0.96-'Übersicht Emissionsfaktoren'!E101/0.96</f>
        <v>0.28381298756061563</v>
      </c>
    </row>
    <row r="87" spans="3:5" x14ac:dyDescent="0.25">
      <c r="C87" t="s">
        <v>623</v>
      </c>
      <c r="E87" s="140">
        <f>'Übersicht Emissionsfaktoren'!E96/0.96-E136</f>
        <v>0.15047465422728232</v>
      </c>
    </row>
    <row r="88" spans="3:5" x14ac:dyDescent="0.25">
      <c r="C88" t="s">
        <v>628</v>
      </c>
      <c r="E88" s="140">
        <f>'Übersicht Emissionsfaktoren'!E96/0.96-E137</f>
        <v>0.16223165422728231</v>
      </c>
    </row>
    <row r="89" spans="3:5" x14ac:dyDescent="0.25">
      <c r="C89" t="s">
        <v>578</v>
      </c>
      <c r="E89" s="140">
        <f>'Übersicht Emissionsfaktoren'!$E$97/0.96-'Übersicht Emissionsfaktoren'!E84</f>
        <v>4.8295171832173717E-2</v>
      </c>
    </row>
    <row r="90" spans="3:5" x14ac:dyDescent="0.25">
      <c r="C90" t="s">
        <v>579</v>
      </c>
      <c r="E90" s="140">
        <f>'Übersicht Emissionsfaktoren'!$E$97/0.96-'Übersicht Emissionsfaktoren'!E85/0.75</f>
        <v>0.16429517183217371</v>
      </c>
    </row>
    <row r="91" spans="3:5" x14ac:dyDescent="0.25">
      <c r="C91" t="s">
        <v>580</v>
      </c>
      <c r="E91" s="140">
        <f>'Übersicht Emissionsfaktoren'!$E$97/0.96-'Übersicht Emissionsfaktoren'!E88/0.8</f>
        <v>0.15529517183217373</v>
      </c>
    </row>
    <row r="92" spans="3:5" x14ac:dyDescent="0.25">
      <c r="C92" t="s">
        <v>581</v>
      </c>
      <c r="E92" s="140">
        <f>'Übersicht Emissionsfaktoren'!$E$97/0.96-'Übersicht Emissionsfaktoren'!E100/0.96</f>
        <v>0.16471642420409022</v>
      </c>
    </row>
    <row r="93" spans="3:5" x14ac:dyDescent="0.25">
      <c r="C93" t="s">
        <v>609</v>
      </c>
      <c r="E93" s="140">
        <f>'Übersicht Emissionsfaktoren'!$E$97/0.96-'Übersicht Emissionsfaktoren'!E101/0.96</f>
        <v>0.15862850516550703</v>
      </c>
    </row>
    <row r="94" spans="3:5" x14ac:dyDescent="0.25">
      <c r="C94" t="s">
        <v>624</v>
      </c>
      <c r="E94" s="140">
        <f>'Übersicht Emissionsfaktoren'!E97/0.96-E136</f>
        <v>2.5290171832173719E-2</v>
      </c>
    </row>
    <row r="95" spans="3:5" x14ac:dyDescent="0.25">
      <c r="C95" t="s">
        <v>629</v>
      </c>
      <c r="E95" s="140">
        <f>'Übersicht Emissionsfaktoren'!E97/0.96-E137</f>
        <v>3.7047171832173709E-2</v>
      </c>
    </row>
    <row r="96" spans="3:5" x14ac:dyDescent="0.25">
      <c r="C96" t="s">
        <v>582</v>
      </c>
      <c r="E96" s="140">
        <f>'Übersicht Emissionsfaktoren'!$E$98/0.96-'Übersicht Emissionsfaktoren'!E84</f>
        <v>7.3857843137254908E-2</v>
      </c>
    </row>
    <row r="97" spans="3:8" x14ac:dyDescent="0.25">
      <c r="C97" t="s">
        <v>583</v>
      </c>
      <c r="E97" s="140">
        <f>'Übersicht Emissionsfaktoren'!$E$98/0.96-'Übersicht Emissionsfaktoren'!E85/0.75</f>
        <v>0.1898578431372549</v>
      </c>
    </row>
    <row r="98" spans="3:8" x14ac:dyDescent="0.25">
      <c r="C98" t="s">
        <v>584</v>
      </c>
      <c r="E98" s="140">
        <f>'Übersicht Emissionsfaktoren'!$E$98/0.96-'Übersicht Emissionsfaktoren'!E88/0.8</f>
        <v>0.18085784313725492</v>
      </c>
    </row>
    <row r="99" spans="3:8" x14ac:dyDescent="0.25">
      <c r="C99" t="s">
        <v>585</v>
      </c>
      <c r="E99" s="140">
        <f>'Übersicht Emissionsfaktoren'!$E$98/0.96-'Übersicht Emissionsfaktoren'!E97/0.96</f>
        <v>2.5562671305081192E-2</v>
      </c>
    </row>
    <row r="100" spans="3:8" x14ac:dyDescent="0.25">
      <c r="C100" t="s">
        <v>586</v>
      </c>
      <c r="E100" s="140">
        <f>'Übersicht Emissionsfaktoren'!$E$98/0.96-'Übersicht Emissionsfaktoren'!E100/0.96</f>
        <v>0.19027909550917141</v>
      </c>
    </row>
    <row r="101" spans="3:8" x14ac:dyDescent="0.25">
      <c r="C101" t="s">
        <v>608</v>
      </c>
      <c r="E101" s="140">
        <f>'Übersicht Emissionsfaktoren'!$E$98/0.96-'Übersicht Emissionsfaktoren'!E101/0.96</f>
        <v>0.18419117647058825</v>
      </c>
    </row>
    <row r="102" spans="3:8" x14ac:dyDescent="0.25">
      <c r="C102" t="s">
        <v>625</v>
      </c>
      <c r="E102" s="140">
        <f>'Übersicht Emissionsfaktoren'!E98/0.96-E136</f>
        <v>5.0852843137254911E-2</v>
      </c>
    </row>
    <row r="103" spans="3:8" x14ac:dyDescent="0.25">
      <c r="C103" t="s">
        <v>630</v>
      </c>
      <c r="E103" s="140">
        <f>'Übersicht Emissionsfaktoren'!E98/0.96-E137</f>
        <v>6.26098431372549E-2</v>
      </c>
    </row>
    <row r="104" spans="3:8" x14ac:dyDescent="0.25">
      <c r="C104" t="s">
        <v>593</v>
      </c>
      <c r="E104" s="140">
        <f>'Übersicht Emissionsfaktoren'!$E$102/0.92-'Übersicht Emissionsfaktoren'!E84</f>
        <v>0.14799999999999994</v>
      </c>
      <c r="G104">
        <f>'[1]Übersicht Emissionsfaktoren'!E102/0.92-'[1]Übersicht Emissionsfaktoren'!E84</f>
        <v>0.14799999999999994</v>
      </c>
      <c r="H104" t="s">
        <v>671</v>
      </c>
    </row>
    <row r="105" spans="3:8" x14ac:dyDescent="0.25">
      <c r="C105" t="s">
        <v>594</v>
      </c>
      <c r="E105" s="140">
        <f>'Übersicht Emissionsfaktoren'!$E$102/0.92-'Übersicht Emissionsfaktoren'!E85/0.75</f>
        <v>0.26399999999999996</v>
      </c>
      <c r="G105" s="158">
        <f>'[1]Übersicht Emissionsfaktoren'!$E$102/0.92-'[1]Übersicht Emissionsfaktoren'!E85/0.7</f>
        <v>0.26142857142857134</v>
      </c>
    </row>
    <row r="106" spans="3:8" x14ac:dyDescent="0.25">
      <c r="C106" t="s">
        <v>595</v>
      </c>
      <c r="E106" s="140">
        <f>'Übersicht Emissionsfaktoren'!$E$102/0.92-'Übersicht Emissionsfaktoren'!E88/0.8</f>
        <v>0.25499999999999995</v>
      </c>
      <c r="G106" s="159">
        <f>'[1]Übersicht Emissionsfaktoren'!$E$102/0.92-'[1]Übersicht Emissionsfaktoren'!E88/0.7</f>
        <v>0.2485714285714285</v>
      </c>
    </row>
    <row r="107" spans="3:8" x14ac:dyDescent="0.25">
      <c r="C107" t="s">
        <v>596</v>
      </c>
      <c r="E107" s="140">
        <f>'Übersicht Emissionsfaktoren'!$E$102/0.92-'Übersicht Emissionsfaktoren'!E97/0.96</f>
        <v>9.970482816782622E-2</v>
      </c>
      <c r="G107" t="s">
        <v>672</v>
      </c>
    </row>
    <row r="108" spans="3:8" x14ac:dyDescent="0.25">
      <c r="C108" t="s">
        <v>597</v>
      </c>
      <c r="E108" s="140">
        <f>'Übersicht Emissionsfaktoren'!$E$102/0.92-'Übersicht Emissionsfaktoren'!E98/0.96</f>
        <v>7.4142156862745029E-2</v>
      </c>
      <c r="G108" t="s">
        <v>672</v>
      </c>
    </row>
    <row r="109" spans="3:8" x14ac:dyDescent="0.25">
      <c r="C109" t="s">
        <v>598</v>
      </c>
      <c r="E109" s="140">
        <f>'Übersicht Emissionsfaktoren'!$E$102/0.92-'Übersicht Emissionsfaktoren'!E100</f>
        <v>0.26584440227703976</v>
      </c>
      <c r="G109" t="s">
        <v>672</v>
      </c>
    </row>
    <row r="110" spans="3:8" x14ac:dyDescent="0.25">
      <c r="C110" t="s">
        <v>675</v>
      </c>
      <c r="E110" s="140">
        <f>'Übersicht Emissionsfaktoren'!$E$102/0.92-'Übersicht Emissionsfaktoren'!E101</f>
        <v>0.25999999999999995</v>
      </c>
      <c r="G110" t="s">
        <v>672</v>
      </c>
    </row>
    <row r="111" spans="3:8" x14ac:dyDescent="0.25">
      <c r="C111" t="s">
        <v>676</v>
      </c>
      <c r="E111" s="140">
        <f>'Übersicht Emissionsfaktoren'!E102/0.92-E136</f>
        <v>0.12499499999999994</v>
      </c>
      <c r="G111" t="s">
        <v>672</v>
      </c>
    </row>
    <row r="112" spans="3:8" x14ac:dyDescent="0.25">
      <c r="C112" t="s">
        <v>631</v>
      </c>
      <c r="E112" s="140">
        <f>'Übersicht Emissionsfaktoren'!E102/0.92-E137</f>
        <v>0.13675199999999993</v>
      </c>
      <c r="G112" t="s">
        <v>672</v>
      </c>
    </row>
    <row r="113" spans="2:7" x14ac:dyDescent="0.25">
      <c r="C113" t="s">
        <v>587</v>
      </c>
      <c r="E113" s="140">
        <f>'Übersicht Emissionsfaktoren'!$E$105/0.86-'Übersicht Emissionsfaktoren'!E84</f>
        <v>0.21776744186046512</v>
      </c>
      <c r="G113">
        <f>'[1]Übersicht Emissionsfaktoren'!E105/0.86-'[1]Übersicht Emissionsfaktoren'!E84</f>
        <v>0.21776744186046512</v>
      </c>
    </row>
    <row r="114" spans="2:7" x14ac:dyDescent="0.25">
      <c r="C114" t="s">
        <v>588</v>
      </c>
      <c r="E114" s="140">
        <f>'Übersicht Emissionsfaktoren'!$E$105/0.86-'Übersicht Emissionsfaktoren'!E85/0.75</f>
        <v>0.33376744186046514</v>
      </c>
      <c r="G114">
        <f>'[1]Übersicht Emissionsfaktoren'!E105/0.86-'[1]Übersicht Emissionsfaktoren'!E85/0.7</f>
        <v>0.33119601328903653</v>
      </c>
    </row>
    <row r="115" spans="2:7" x14ac:dyDescent="0.25">
      <c r="C115" t="s">
        <v>589</v>
      </c>
      <c r="E115" s="140">
        <f>'Übersicht Emissionsfaktoren'!$E$105/0.86-'Übersicht Emissionsfaktoren'!E88/0.8</f>
        <v>0.32476744186046513</v>
      </c>
      <c r="G115">
        <f>'[1]Übersicht Emissionsfaktoren'!E105/0.86-'[1]Übersicht Emissionsfaktoren'!E88/0.7</f>
        <v>0.31833887043189368</v>
      </c>
    </row>
    <row r="116" spans="2:7" x14ac:dyDescent="0.25">
      <c r="C116" t="s">
        <v>590</v>
      </c>
      <c r="E116" s="140">
        <f>'Übersicht Emissionsfaktoren'!$E$105/0.86-'Übersicht Emissionsfaktoren'!E97/0.96</f>
        <v>0.16947227002829141</v>
      </c>
      <c r="G116">
        <f>'[1]Übersicht Emissionsfaktoren'!$E$105/0.86-'[1]Übersicht Emissionsfaktoren'!$E$97</f>
        <v>0.17748407690157836</v>
      </c>
    </row>
    <row r="117" spans="2:7" x14ac:dyDescent="0.25">
      <c r="C117" t="s">
        <v>591</v>
      </c>
      <c r="E117" s="140">
        <f>'Übersicht Emissionsfaktoren'!$E$105/0.86-'Übersicht Emissionsfaktoren'!E98/0.96</f>
        <v>0.14390959872321021</v>
      </c>
      <c r="G117">
        <f>'[1]Übersicht Emissionsfaktoren'!$E$105/0.86-'[1]Übersicht Emissionsfaktoren'!$E$98</f>
        <v>0.15294391244870043</v>
      </c>
    </row>
    <row r="118" spans="2:7" x14ac:dyDescent="0.25">
      <c r="C118" t="s">
        <v>592</v>
      </c>
      <c r="E118" s="140">
        <f>'Übersicht Emissionsfaktoren'!$E$105/0.86-'Übersicht Emissionsfaktoren'!E100/0.96</f>
        <v>0.33418869423238162</v>
      </c>
      <c r="G118">
        <f>'[1]Übersicht Emissionsfaktoren'!$E$105/0.86-'[1]Übersicht Emissionsfaktoren'!$E$100</f>
        <v>0.33561184413750494</v>
      </c>
    </row>
    <row r="119" spans="2:7" x14ac:dyDescent="0.25">
      <c r="C119" t="s">
        <v>674</v>
      </c>
      <c r="E119" s="140">
        <f>'Übersicht Emissionsfaktoren'!$E$105/0.86-'Übersicht Emissionsfaktoren'!E101</f>
        <v>0.32976744186046514</v>
      </c>
      <c r="G119">
        <f>'[1]Übersicht Emissionsfaktoren'!$E$105/0.86-'[1]Übersicht Emissionsfaktoren'!$E$101</f>
        <v>0.32976744186046514</v>
      </c>
    </row>
    <row r="120" spans="2:7" x14ac:dyDescent="0.25">
      <c r="C120" t="s">
        <v>673</v>
      </c>
      <c r="E120" s="140">
        <f>'Übersicht Emissionsfaktoren'!E105/0.86-E136</f>
        <v>0.19476244186046512</v>
      </c>
      <c r="G120" s="159">
        <f>'[1]Übersicht Emissionsfaktoren'!E105/0.86-'[1]Übersicht Emissionsfaktoren'!E106/'[1]Übersicht Emissionsfaktoren'!E107</f>
        <v>0.22847711927981995</v>
      </c>
    </row>
    <row r="121" spans="2:7" x14ac:dyDescent="0.25">
      <c r="C121" t="s">
        <v>632</v>
      </c>
      <c r="E121" s="140">
        <f>'Übersicht Emissionsfaktoren'!E105/0.86-E137</f>
        <v>0.20651944186046511</v>
      </c>
      <c r="G121" s="158">
        <f>'[1]Übersicht Emissionsfaktoren'!E105/0.86-'[1]Übersicht Emissionsfaktoren'!E106/'[1]Übersicht Emissionsfaktoren'!E108</f>
        <v>0.25450428396572827</v>
      </c>
    </row>
    <row r="124" spans="2:7" x14ac:dyDescent="0.25">
      <c r="B124" t="s">
        <v>614</v>
      </c>
      <c r="C124" s="83" t="s">
        <v>329</v>
      </c>
      <c r="E124" s="140">
        <v>0.152</v>
      </c>
    </row>
    <row r="125" spans="2:7" x14ac:dyDescent="0.25">
      <c r="C125" s="83" t="s">
        <v>323</v>
      </c>
      <c r="E125" s="140">
        <v>2.7E-2</v>
      </c>
    </row>
    <row r="126" spans="2:7" x14ac:dyDescent="0.25">
      <c r="C126" s="83" t="s">
        <v>318</v>
      </c>
      <c r="E126" s="140">
        <v>3.5999999999999997E-2</v>
      </c>
    </row>
    <row r="127" spans="2:7" x14ac:dyDescent="0.25">
      <c r="C127" s="83" t="s">
        <v>315</v>
      </c>
      <c r="E127" s="140">
        <v>0.247</v>
      </c>
    </row>
    <row r="128" spans="2:7" x14ac:dyDescent="0.25">
      <c r="C128" s="83" t="s">
        <v>312</v>
      </c>
      <c r="E128" s="140">
        <v>0.4224</v>
      </c>
    </row>
    <row r="129" spans="2:15" x14ac:dyDescent="0.25">
      <c r="C129" s="83" t="s">
        <v>306</v>
      </c>
      <c r="E129" s="140">
        <v>0.312</v>
      </c>
    </row>
    <row r="130" spans="2:15" x14ac:dyDescent="0.25">
      <c r="C130" s="83" t="s">
        <v>304</v>
      </c>
      <c r="E130" s="140">
        <v>0.192</v>
      </c>
    </row>
    <row r="131" spans="2:15" x14ac:dyDescent="0.25">
      <c r="C131" s="83" t="s">
        <v>618</v>
      </c>
      <c r="E131" s="140">
        <v>0.21679999999999999</v>
      </c>
    </row>
    <row r="132" spans="2:15" x14ac:dyDescent="0.25">
      <c r="C132" s="83" t="s">
        <v>295</v>
      </c>
      <c r="E132" s="140">
        <v>3.4000000000000002E-2</v>
      </c>
    </row>
    <row r="133" spans="2:15" x14ac:dyDescent="0.25">
      <c r="C133" s="83" t="s">
        <v>292</v>
      </c>
      <c r="E133" s="140">
        <v>0.04</v>
      </c>
    </row>
    <row r="134" spans="2:15" x14ac:dyDescent="0.25">
      <c r="C134" s="83" t="s">
        <v>285</v>
      </c>
      <c r="E134" s="140">
        <v>0.27600000000000002</v>
      </c>
    </row>
    <row r="135" spans="2:15" x14ac:dyDescent="0.25">
      <c r="C135" s="83" t="s">
        <v>281</v>
      </c>
      <c r="E135" s="140">
        <v>0.318</v>
      </c>
    </row>
    <row r="136" spans="2:15" x14ac:dyDescent="0.25">
      <c r="C136" t="s">
        <v>660</v>
      </c>
      <c r="E136" s="160">
        <v>0.17500499999999999</v>
      </c>
      <c r="G136" t="s">
        <v>657</v>
      </c>
    </row>
    <row r="137" spans="2:15" ht="15.75" customHeight="1" x14ac:dyDescent="0.25">
      <c r="C137" t="s">
        <v>661</v>
      </c>
      <c r="E137" s="160">
        <v>0.163248</v>
      </c>
      <c r="G137" t="s">
        <v>657</v>
      </c>
    </row>
    <row r="138" spans="2:15" ht="60" customHeight="1" x14ac:dyDescent="0.25">
      <c r="G138" s="255" t="s">
        <v>659</v>
      </c>
      <c r="H138" s="255"/>
      <c r="I138" s="255"/>
      <c r="J138" s="255"/>
      <c r="K138" s="255"/>
      <c r="L138" s="255"/>
      <c r="M138" s="255"/>
      <c r="N138" s="255"/>
      <c r="O138" s="255"/>
    </row>
    <row r="141" spans="2:15" x14ac:dyDescent="0.25">
      <c r="B141" t="s">
        <v>640</v>
      </c>
      <c r="C141" s="83" t="s">
        <v>641</v>
      </c>
      <c r="D141" s="83"/>
    </row>
    <row r="142" spans="2:15" x14ac:dyDescent="0.25">
      <c r="C142" s="83" t="s">
        <v>642</v>
      </c>
      <c r="D142" s="83"/>
    </row>
    <row r="143" spans="2:15" x14ac:dyDescent="0.25">
      <c r="C143" s="83" t="s">
        <v>643</v>
      </c>
      <c r="D143" s="83"/>
    </row>
    <row r="144" spans="2:15" x14ac:dyDescent="0.25">
      <c r="C144" s="83" t="s">
        <v>644</v>
      </c>
      <c r="D144" s="83"/>
    </row>
    <row r="145" spans="3:7" x14ac:dyDescent="0.25">
      <c r="C145" s="83" t="s">
        <v>645</v>
      </c>
      <c r="D145" s="83"/>
    </row>
    <row r="146" spans="3:7" x14ac:dyDescent="0.25">
      <c r="C146" s="83" t="s">
        <v>646</v>
      </c>
      <c r="D146" s="83"/>
      <c r="G146" t="s">
        <v>617</v>
      </c>
    </row>
    <row r="147" spans="3:7" x14ac:dyDescent="0.25">
      <c r="C147" s="83" t="s">
        <v>647</v>
      </c>
    </row>
    <row r="148" spans="3:7" x14ac:dyDescent="0.25">
      <c r="C148" s="83"/>
    </row>
    <row r="149" spans="3:7" x14ac:dyDescent="0.25">
      <c r="C149" s="83"/>
      <c r="D149" s="83"/>
    </row>
    <row r="150" spans="3:7" x14ac:dyDescent="0.25">
      <c r="C150" s="83"/>
      <c r="D150" s="83"/>
    </row>
    <row r="151" spans="3:7" x14ac:dyDescent="0.25">
      <c r="C151" s="96"/>
      <c r="D151" s="96"/>
    </row>
    <row r="152" spans="3:7" x14ac:dyDescent="0.25">
      <c r="C152" s="96"/>
      <c r="D152" s="96"/>
    </row>
    <row r="153" spans="3:7" x14ac:dyDescent="0.25">
      <c r="C153" s="83"/>
      <c r="D153" s="83"/>
    </row>
    <row r="154" spans="3:7" x14ac:dyDescent="0.25">
      <c r="C154" s="83"/>
      <c r="D154" s="83"/>
    </row>
    <row r="155" spans="3:7" x14ac:dyDescent="0.25">
      <c r="C155" s="83"/>
      <c r="D155" s="83"/>
    </row>
    <row r="156" spans="3:7" x14ac:dyDescent="0.25">
      <c r="C156" s="83"/>
      <c r="D156" s="83"/>
    </row>
    <row r="157" spans="3:7" x14ac:dyDescent="0.25">
      <c r="C157" s="83"/>
      <c r="D157" s="83"/>
    </row>
    <row r="158" spans="3:7" x14ac:dyDescent="0.25">
      <c r="C158" s="83"/>
      <c r="D158" s="83"/>
    </row>
    <row r="159" spans="3:7" x14ac:dyDescent="0.25">
      <c r="C159" s="83"/>
      <c r="D159" s="83"/>
    </row>
    <row r="163" spans="3:4" x14ac:dyDescent="0.25">
      <c r="C163" s="83"/>
      <c r="D163" s="83"/>
    </row>
  </sheetData>
  <mergeCells count="1">
    <mergeCell ref="G138:O138"/>
  </mergeCells>
  <pageMargins left="0.7" right="0.7" top="0.78740157499999996" bottom="0.78740157499999996"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A403E-D6E6-4D3A-A28C-9CC5D5B4B6E5}">
  <sheetPr codeName="Tabelle14"/>
  <dimension ref="A2:N181"/>
  <sheetViews>
    <sheetView zoomScale="115" zoomScaleNormal="115" workbookViewId="0">
      <pane ySplit="5" topLeftCell="A54" activePane="bottomLeft" state="frozen"/>
      <selection pane="bottomLeft" activeCell="E106" sqref="E106"/>
    </sheetView>
  </sheetViews>
  <sheetFormatPr baseColWidth="10" defaultRowHeight="15" x14ac:dyDescent="0.25"/>
  <cols>
    <col min="1" max="1" width="24" style="83" customWidth="1"/>
    <col min="2" max="2" width="48.7109375" style="83" customWidth="1"/>
    <col min="3" max="3" width="6.85546875" style="83" customWidth="1"/>
    <col min="4" max="4" width="37.140625" style="83" customWidth="1"/>
    <col min="5" max="5" width="15.85546875" customWidth="1"/>
    <col min="6" max="6" width="39.7109375" bestFit="1" customWidth="1"/>
    <col min="8" max="8" width="39.28515625" customWidth="1"/>
    <col min="9" max="9" width="19.7109375" customWidth="1"/>
  </cols>
  <sheetData>
    <row r="2" spans="1:10" ht="24" x14ac:dyDescent="0.45">
      <c r="A2" s="126" t="s">
        <v>520</v>
      </c>
    </row>
    <row r="5" spans="1:10" ht="30" x14ac:dyDescent="0.25">
      <c r="A5" s="125" t="s">
        <v>108</v>
      </c>
      <c r="B5" s="125" t="s">
        <v>519</v>
      </c>
      <c r="C5" s="125" t="s">
        <v>4</v>
      </c>
      <c r="D5" s="125" t="s">
        <v>518</v>
      </c>
      <c r="E5" s="125" t="s">
        <v>517</v>
      </c>
      <c r="F5" s="125" t="s">
        <v>109</v>
      </c>
      <c r="G5" s="125" t="s">
        <v>516</v>
      </c>
      <c r="H5" s="125" t="s">
        <v>515</v>
      </c>
      <c r="I5" s="125" t="s">
        <v>514</v>
      </c>
      <c r="J5" s="125" t="s">
        <v>513</v>
      </c>
    </row>
    <row r="6" spans="1:10" x14ac:dyDescent="0.25">
      <c r="A6" s="83" t="s">
        <v>28</v>
      </c>
      <c r="B6" s="83" t="s">
        <v>96</v>
      </c>
      <c r="C6" s="83" t="s">
        <v>97</v>
      </c>
      <c r="D6" s="83" t="s">
        <v>98</v>
      </c>
      <c r="E6" s="84">
        <f>21.294*0.1</f>
        <v>2.1294</v>
      </c>
      <c r="F6" t="s">
        <v>99</v>
      </c>
      <c r="G6">
        <v>2021</v>
      </c>
      <c r="H6" t="s">
        <v>512</v>
      </c>
      <c r="I6" t="s">
        <v>511</v>
      </c>
      <c r="J6" s="93" t="s">
        <v>227</v>
      </c>
    </row>
    <row r="7" spans="1:10" x14ac:dyDescent="0.25">
      <c r="B7" s="83" t="s">
        <v>96</v>
      </c>
      <c r="C7" s="83" t="s">
        <v>100</v>
      </c>
      <c r="D7" s="83" t="s">
        <v>101</v>
      </c>
      <c r="E7" s="85">
        <f>E6*10</f>
        <v>21.294</v>
      </c>
      <c r="F7" t="s">
        <v>102</v>
      </c>
      <c r="G7">
        <v>2021</v>
      </c>
      <c r="H7" t="s">
        <v>510</v>
      </c>
      <c r="I7" s="93" t="s">
        <v>508</v>
      </c>
    </row>
    <row r="8" spans="1:10" x14ac:dyDescent="0.25">
      <c r="B8" s="83" t="s">
        <v>103</v>
      </c>
      <c r="C8" s="83" t="s">
        <v>104</v>
      </c>
      <c r="D8" s="83" t="s">
        <v>98</v>
      </c>
      <c r="E8" s="84">
        <f>E9*0.2</f>
        <v>4.2587999999999999</v>
      </c>
      <c r="F8" t="s">
        <v>99</v>
      </c>
      <c r="G8">
        <v>2021</v>
      </c>
      <c r="H8" t="s">
        <v>509</v>
      </c>
      <c r="I8" s="93" t="s">
        <v>508</v>
      </c>
    </row>
    <row r="9" spans="1:10" x14ac:dyDescent="0.25">
      <c r="B9" s="83" t="s">
        <v>103</v>
      </c>
      <c r="C9" s="83" t="s">
        <v>105</v>
      </c>
      <c r="D9" s="83" t="s">
        <v>101</v>
      </c>
      <c r="E9" s="85">
        <v>21.294</v>
      </c>
      <c r="F9" t="s">
        <v>102</v>
      </c>
      <c r="G9">
        <v>2021</v>
      </c>
      <c r="I9" t="s">
        <v>507</v>
      </c>
      <c r="J9" s="93" t="s">
        <v>227</v>
      </c>
    </row>
    <row r="10" spans="1:10" x14ac:dyDescent="0.25">
      <c r="A10" s="83" t="s">
        <v>506</v>
      </c>
      <c r="B10" s="83" t="s">
        <v>505</v>
      </c>
      <c r="C10" s="83" t="s">
        <v>504</v>
      </c>
      <c r="D10" s="83" t="s">
        <v>494</v>
      </c>
      <c r="E10" s="105">
        <v>311</v>
      </c>
      <c r="F10" t="s">
        <v>503</v>
      </c>
      <c r="G10">
        <v>2020</v>
      </c>
      <c r="H10" t="s">
        <v>502</v>
      </c>
      <c r="I10" t="s">
        <v>484</v>
      </c>
      <c r="J10" s="93" t="s">
        <v>483</v>
      </c>
    </row>
    <row r="11" spans="1:10" x14ac:dyDescent="0.25">
      <c r="B11" s="83" t="s">
        <v>501</v>
      </c>
      <c r="C11" s="83" t="s">
        <v>500</v>
      </c>
      <c r="D11" s="83" t="s">
        <v>494</v>
      </c>
      <c r="E11" s="124">
        <v>200</v>
      </c>
      <c r="F11" t="s">
        <v>499</v>
      </c>
      <c r="G11">
        <v>2020</v>
      </c>
      <c r="I11" t="s">
        <v>484</v>
      </c>
      <c r="J11" t="s">
        <v>483</v>
      </c>
    </row>
    <row r="12" spans="1:10" x14ac:dyDescent="0.25">
      <c r="B12" s="83" t="s">
        <v>498</v>
      </c>
      <c r="C12" s="83" t="s">
        <v>497</v>
      </c>
      <c r="D12" s="83" t="s">
        <v>494</v>
      </c>
      <c r="E12" s="123">
        <v>346.9</v>
      </c>
      <c r="F12" t="s">
        <v>493</v>
      </c>
      <c r="G12">
        <v>2020</v>
      </c>
      <c r="I12" t="s">
        <v>484</v>
      </c>
      <c r="J12" t="s">
        <v>483</v>
      </c>
    </row>
    <row r="13" spans="1:10" x14ac:dyDescent="0.25">
      <c r="B13" s="83" t="s">
        <v>496</v>
      </c>
      <c r="C13" s="83" t="s">
        <v>495</v>
      </c>
      <c r="D13" s="83" t="s">
        <v>494</v>
      </c>
      <c r="E13" s="123">
        <v>88.2</v>
      </c>
      <c r="F13" t="s">
        <v>493</v>
      </c>
      <c r="G13">
        <v>2020</v>
      </c>
      <c r="I13" t="s">
        <v>484</v>
      </c>
      <c r="J13" t="s">
        <v>483</v>
      </c>
    </row>
    <row r="14" spans="1:10" ht="30" x14ac:dyDescent="0.25">
      <c r="A14" s="83" t="s">
        <v>492</v>
      </c>
      <c r="B14" s="83" t="s">
        <v>491</v>
      </c>
      <c r="C14" s="83" t="s">
        <v>490</v>
      </c>
      <c r="D14" s="83" t="s">
        <v>487</v>
      </c>
      <c r="E14" s="109">
        <f>0.052*E78</f>
        <v>2.2775999999999998E-2</v>
      </c>
      <c r="F14" t="s">
        <v>486</v>
      </c>
      <c r="G14">
        <v>2020</v>
      </c>
      <c r="H14" s="83" t="s">
        <v>485</v>
      </c>
      <c r="I14" t="s">
        <v>484</v>
      </c>
      <c r="J14" t="s">
        <v>483</v>
      </c>
    </row>
    <row r="15" spans="1:10" x14ac:dyDescent="0.25">
      <c r="B15" s="83" t="s">
        <v>489</v>
      </c>
      <c r="C15" s="83" t="s">
        <v>488</v>
      </c>
      <c r="D15" s="83" t="s">
        <v>487</v>
      </c>
      <c r="E15" s="110">
        <f>0.252*E78</f>
        <v>0.110376</v>
      </c>
      <c r="F15" t="s">
        <v>486</v>
      </c>
      <c r="G15">
        <v>2020</v>
      </c>
      <c r="H15" t="s">
        <v>485</v>
      </c>
      <c r="I15" t="s">
        <v>484</v>
      </c>
      <c r="J15" t="s">
        <v>483</v>
      </c>
    </row>
    <row r="16" spans="1:10" x14ac:dyDescent="0.25">
      <c r="A16" s="83" t="s">
        <v>29</v>
      </c>
      <c r="B16" s="83" t="s">
        <v>482</v>
      </c>
      <c r="C16" s="83" t="s">
        <v>481</v>
      </c>
      <c r="D16" s="83" t="s">
        <v>459</v>
      </c>
      <c r="E16" s="89">
        <f>919.4*0.0024948/500</f>
        <v>4.58743824E-3</v>
      </c>
      <c r="F16" t="s">
        <v>458</v>
      </c>
      <c r="G16">
        <v>2021</v>
      </c>
      <c r="H16" t="s">
        <v>478</v>
      </c>
      <c r="I16" t="s">
        <v>473</v>
      </c>
      <c r="J16" s="93" t="s">
        <v>227</v>
      </c>
    </row>
    <row r="17" spans="1:10" x14ac:dyDescent="0.25">
      <c r="B17" s="83" t="s">
        <v>480</v>
      </c>
      <c r="C17" s="83" t="s">
        <v>479</v>
      </c>
      <c r="D17" s="83" t="s">
        <v>459</v>
      </c>
      <c r="E17" s="89">
        <f>739.4*0.0024948/500</f>
        <v>3.6893102400000002E-3</v>
      </c>
      <c r="F17" t="s">
        <v>458</v>
      </c>
      <c r="G17">
        <v>2021</v>
      </c>
      <c r="H17" t="s">
        <v>478</v>
      </c>
      <c r="I17" t="s">
        <v>456</v>
      </c>
      <c r="J17" s="93" t="s">
        <v>227</v>
      </c>
    </row>
    <row r="18" spans="1:10" x14ac:dyDescent="0.25">
      <c r="B18" s="83" t="s">
        <v>477</v>
      </c>
      <c r="C18" s="83" t="s">
        <v>476</v>
      </c>
      <c r="D18" s="83" t="s">
        <v>470</v>
      </c>
      <c r="E18" s="84">
        <f>919.4*0.000175</f>
        <v>0.16089499999999998</v>
      </c>
      <c r="F18" t="s">
        <v>465</v>
      </c>
      <c r="G18">
        <v>2021</v>
      </c>
      <c r="H18" t="s">
        <v>469</v>
      </c>
      <c r="I18" t="s">
        <v>473</v>
      </c>
      <c r="J18" s="93" t="s">
        <v>227</v>
      </c>
    </row>
    <row r="19" spans="1:10" x14ac:dyDescent="0.25">
      <c r="B19" s="83" t="s">
        <v>475</v>
      </c>
      <c r="C19" s="83" t="s">
        <v>474</v>
      </c>
      <c r="D19" s="83" t="s">
        <v>466</v>
      </c>
      <c r="E19" s="84">
        <f>E18*9</f>
        <v>1.4480549999999999</v>
      </c>
      <c r="F19" t="s">
        <v>465</v>
      </c>
      <c r="G19">
        <v>2021</v>
      </c>
      <c r="H19" t="s">
        <v>464</v>
      </c>
      <c r="I19" t="s">
        <v>473</v>
      </c>
      <c r="J19" s="93" t="s">
        <v>227</v>
      </c>
    </row>
    <row r="20" spans="1:10" x14ac:dyDescent="0.25">
      <c r="B20" s="83" t="s">
        <v>472</v>
      </c>
      <c r="C20" s="83" t="s">
        <v>471</v>
      </c>
      <c r="D20" s="83" t="s">
        <v>470</v>
      </c>
      <c r="E20" s="84">
        <f>739.4*0.000175</f>
        <v>0.12939499999999998</v>
      </c>
      <c r="F20" t="s">
        <v>465</v>
      </c>
      <c r="G20">
        <v>2021</v>
      </c>
      <c r="H20" t="s">
        <v>469</v>
      </c>
      <c r="I20" t="s">
        <v>456</v>
      </c>
      <c r="J20" s="93" t="s">
        <v>227</v>
      </c>
    </row>
    <row r="21" spans="1:10" x14ac:dyDescent="0.25">
      <c r="B21" s="83" t="s">
        <v>468</v>
      </c>
      <c r="C21" s="83" t="s">
        <v>467</v>
      </c>
      <c r="D21" s="83" t="s">
        <v>466</v>
      </c>
      <c r="E21" s="84">
        <f>E20*9</f>
        <v>1.1645549999999998</v>
      </c>
      <c r="F21" t="s">
        <v>465</v>
      </c>
      <c r="G21">
        <v>2021</v>
      </c>
      <c r="H21" t="s">
        <v>464</v>
      </c>
      <c r="I21" t="s">
        <v>456</v>
      </c>
      <c r="J21" s="93" t="s">
        <v>227</v>
      </c>
    </row>
    <row r="22" spans="1:10" x14ac:dyDescent="0.25">
      <c r="B22" s="83" t="s">
        <v>463</v>
      </c>
      <c r="C22" s="83" t="s">
        <v>462</v>
      </c>
      <c r="D22" s="83" t="s">
        <v>459</v>
      </c>
      <c r="E22" s="89">
        <f>919.4*0.000002</f>
        <v>1.8387999999999998E-3</v>
      </c>
      <c r="F22" t="s">
        <v>458</v>
      </c>
      <c r="G22">
        <v>2021</v>
      </c>
      <c r="H22" t="s">
        <v>457</v>
      </c>
      <c r="I22" t="s">
        <v>456</v>
      </c>
      <c r="J22" s="93" t="s">
        <v>227</v>
      </c>
    </row>
    <row r="23" spans="1:10" x14ac:dyDescent="0.25">
      <c r="B23" s="83" t="s">
        <v>461</v>
      </c>
      <c r="C23" s="83" t="s">
        <v>460</v>
      </c>
      <c r="D23" s="83" t="s">
        <v>459</v>
      </c>
      <c r="E23" s="89">
        <f>739.39628*0.000002</f>
        <v>1.47879256E-3</v>
      </c>
      <c r="F23" t="s">
        <v>458</v>
      </c>
      <c r="G23">
        <v>2021</v>
      </c>
      <c r="H23" t="s">
        <v>457</v>
      </c>
      <c r="I23" t="s">
        <v>456</v>
      </c>
      <c r="J23" s="93" t="s">
        <v>227</v>
      </c>
    </row>
    <row r="24" spans="1:10" x14ac:dyDescent="0.25">
      <c r="A24" s="83" t="s">
        <v>455</v>
      </c>
      <c r="B24" s="83" t="s">
        <v>454</v>
      </c>
      <c r="C24" s="83" t="s">
        <v>453</v>
      </c>
      <c r="D24" s="83" t="s">
        <v>447</v>
      </c>
      <c r="E24" s="122">
        <f>'[2]Berechnung Gerichte'!C24</f>
        <v>0.8</v>
      </c>
      <c r="F24" t="s">
        <v>446</v>
      </c>
      <c r="G24">
        <v>2019</v>
      </c>
      <c r="H24" t="s">
        <v>452</v>
      </c>
      <c r="I24" t="s">
        <v>394</v>
      </c>
      <c r="J24" s="118" t="s">
        <v>393</v>
      </c>
    </row>
    <row r="25" spans="1:10" x14ac:dyDescent="0.25">
      <c r="B25" s="83" t="s">
        <v>451</v>
      </c>
      <c r="C25" s="83" t="s">
        <v>450</v>
      </c>
      <c r="D25" s="83" t="s">
        <v>447</v>
      </c>
      <c r="E25" s="122">
        <f>'[2]Berechnung Gerichte'!B24</f>
        <v>1.6</v>
      </c>
      <c r="F25" t="s">
        <v>446</v>
      </c>
      <c r="G25">
        <v>2019</v>
      </c>
      <c r="H25" t="s">
        <v>445</v>
      </c>
      <c r="I25" t="s">
        <v>394</v>
      </c>
      <c r="J25" s="118" t="s">
        <v>393</v>
      </c>
    </row>
    <row r="26" spans="1:10" x14ac:dyDescent="0.25">
      <c r="B26" s="83" t="s">
        <v>449</v>
      </c>
      <c r="C26" s="83" t="s">
        <v>448</v>
      </c>
      <c r="D26" s="83" t="s">
        <v>447</v>
      </c>
      <c r="E26" s="122">
        <f>'[2]Berechnung Gerichte'!D24</f>
        <v>0.6</v>
      </c>
      <c r="F26" t="s">
        <v>446</v>
      </c>
      <c r="G26">
        <v>2019</v>
      </c>
      <c r="H26" t="s">
        <v>445</v>
      </c>
      <c r="I26" t="s">
        <v>394</v>
      </c>
      <c r="J26" s="118" t="s">
        <v>393</v>
      </c>
    </row>
    <row r="27" spans="1:10" x14ac:dyDescent="0.25">
      <c r="B27" s="121"/>
      <c r="E27" s="92"/>
      <c r="J27" s="118"/>
    </row>
    <row r="28" spans="1:10" ht="27.6" customHeight="1" x14ac:dyDescent="0.25">
      <c r="A28" s="83" t="s">
        <v>444</v>
      </c>
      <c r="B28" s="83" t="s">
        <v>443</v>
      </c>
      <c r="C28" s="83" t="s">
        <v>442</v>
      </c>
      <c r="D28" s="83" t="s">
        <v>419</v>
      </c>
      <c r="E28" s="106">
        <f>SUM(E29:E31)</f>
        <v>0.20499999999999999</v>
      </c>
      <c r="F28" t="s">
        <v>423</v>
      </c>
      <c r="G28">
        <v>2019</v>
      </c>
      <c r="H28" t="s">
        <v>432</v>
      </c>
    </row>
    <row r="29" spans="1:10" ht="18" customHeight="1" x14ac:dyDescent="0.25">
      <c r="B29" s="96" t="s">
        <v>431</v>
      </c>
      <c r="C29" s="96"/>
      <c r="D29" s="96"/>
      <c r="E29" s="95">
        <f>0.7*0.04</f>
        <v>2.7999999999999997E-2</v>
      </c>
      <c r="F29" s="94" t="s">
        <v>427</v>
      </c>
      <c r="H29" s="94" t="s">
        <v>422</v>
      </c>
      <c r="I29" s="94" t="s">
        <v>394</v>
      </c>
      <c r="J29" s="117" t="s">
        <v>393</v>
      </c>
    </row>
    <row r="30" spans="1:10" ht="18" customHeight="1" x14ac:dyDescent="0.25">
      <c r="B30" s="96" t="s">
        <v>437</v>
      </c>
      <c r="C30" s="96"/>
      <c r="D30" s="96"/>
      <c r="E30" s="95">
        <f>9*0.01</f>
        <v>0.09</v>
      </c>
      <c r="F30" s="94" t="s">
        <v>427</v>
      </c>
      <c r="H30" s="94" t="s">
        <v>436</v>
      </c>
      <c r="I30" s="94" t="s">
        <v>394</v>
      </c>
      <c r="J30" s="117" t="s">
        <v>393</v>
      </c>
    </row>
    <row r="31" spans="1:10" ht="18" customHeight="1" x14ac:dyDescent="0.25">
      <c r="B31" s="96" t="s">
        <v>441</v>
      </c>
      <c r="C31" s="96"/>
      <c r="D31" s="96"/>
      <c r="E31" s="95">
        <f>2.9*0.03</f>
        <v>8.6999999999999994E-2</v>
      </c>
      <c r="F31" s="94" t="s">
        <v>427</v>
      </c>
      <c r="H31" s="94" t="s">
        <v>440</v>
      </c>
      <c r="I31" s="94" t="s">
        <v>394</v>
      </c>
      <c r="J31" s="117" t="s">
        <v>393</v>
      </c>
    </row>
    <row r="32" spans="1:10" x14ac:dyDescent="0.25">
      <c r="B32" s="83" t="s">
        <v>439</v>
      </c>
      <c r="C32" s="83" t="s">
        <v>438</v>
      </c>
      <c r="D32" s="83" t="s">
        <v>419</v>
      </c>
      <c r="E32" s="106">
        <f>SUM(E33:E35)</f>
        <v>0.28899999999999998</v>
      </c>
      <c r="F32" t="s">
        <v>423</v>
      </c>
      <c r="G32">
        <v>2019</v>
      </c>
      <c r="H32" t="s">
        <v>432</v>
      </c>
    </row>
    <row r="33" spans="1:10" x14ac:dyDescent="0.25">
      <c r="B33" s="96" t="s">
        <v>431</v>
      </c>
      <c r="D33" s="96"/>
      <c r="E33" s="95">
        <f>0.7*0.04</f>
        <v>2.7999999999999997E-2</v>
      </c>
      <c r="F33" s="94" t="s">
        <v>427</v>
      </c>
      <c r="H33" s="94" t="s">
        <v>422</v>
      </c>
      <c r="I33" s="94" t="s">
        <v>394</v>
      </c>
      <c r="J33" s="117" t="s">
        <v>393</v>
      </c>
    </row>
    <row r="34" spans="1:10" x14ac:dyDescent="0.25">
      <c r="B34" s="96" t="s">
        <v>437</v>
      </c>
      <c r="D34" s="96"/>
      <c r="E34" s="95">
        <f>9*0.01</f>
        <v>0.09</v>
      </c>
      <c r="F34" s="94" t="s">
        <v>427</v>
      </c>
      <c r="H34" s="94" t="s">
        <v>436</v>
      </c>
      <c r="I34" s="94" t="s">
        <v>394</v>
      </c>
      <c r="J34" s="117" t="s">
        <v>393</v>
      </c>
    </row>
    <row r="35" spans="1:10" x14ac:dyDescent="0.25">
      <c r="B35" s="96" t="s">
        <v>435</v>
      </c>
      <c r="D35" s="96"/>
      <c r="E35" s="120">
        <f>5.7*0.03</f>
        <v>0.17099999999999999</v>
      </c>
      <c r="F35" s="94" t="s">
        <v>427</v>
      </c>
      <c r="H35" s="94" t="s">
        <v>434</v>
      </c>
      <c r="I35" s="94" t="s">
        <v>394</v>
      </c>
      <c r="J35" s="117" t="s">
        <v>393</v>
      </c>
    </row>
    <row r="36" spans="1:10" x14ac:dyDescent="0.25">
      <c r="B36" s="83" t="s">
        <v>433</v>
      </c>
      <c r="C36" s="83" t="s">
        <v>424</v>
      </c>
      <c r="D36" s="83" t="s">
        <v>419</v>
      </c>
      <c r="E36" s="97">
        <f>SUM(E37:E39)</f>
        <v>9.6000000000000002E-2</v>
      </c>
      <c r="F36" t="s">
        <v>423</v>
      </c>
      <c r="G36">
        <v>2019</v>
      </c>
      <c r="H36" t="s">
        <v>432</v>
      </c>
    </row>
    <row r="37" spans="1:10" x14ac:dyDescent="0.25">
      <c r="B37" s="96" t="s">
        <v>431</v>
      </c>
      <c r="C37" s="96"/>
      <c r="D37" s="96"/>
      <c r="E37" s="95">
        <f>0.7*0.04</f>
        <v>2.7999999999999997E-2</v>
      </c>
      <c r="F37" s="94" t="s">
        <v>427</v>
      </c>
      <c r="H37" s="94" t="s">
        <v>422</v>
      </c>
    </row>
    <row r="38" spans="1:10" x14ac:dyDescent="0.25">
      <c r="B38" s="96" t="s">
        <v>430</v>
      </c>
      <c r="C38" s="96"/>
      <c r="D38" s="96"/>
      <c r="E38" s="95">
        <f>1.7*0.01</f>
        <v>1.7000000000000001E-2</v>
      </c>
      <c r="F38" s="94" t="s">
        <v>427</v>
      </c>
      <c r="H38" s="94" t="s">
        <v>429</v>
      </c>
    </row>
    <row r="39" spans="1:10" x14ac:dyDescent="0.25">
      <c r="B39" s="96" t="s">
        <v>428</v>
      </c>
      <c r="C39" s="96"/>
      <c r="D39" s="96"/>
      <c r="E39" s="95">
        <f>1.7*0.03</f>
        <v>5.0999999999999997E-2</v>
      </c>
      <c r="F39" s="94" t="s">
        <v>427</v>
      </c>
      <c r="H39" s="94" t="s">
        <v>426</v>
      </c>
    </row>
    <row r="40" spans="1:10" x14ac:dyDescent="0.25">
      <c r="B40" s="83" t="s">
        <v>425</v>
      </c>
      <c r="C40" s="83" t="s">
        <v>424</v>
      </c>
      <c r="D40" s="83" t="s">
        <v>419</v>
      </c>
      <c r="E40" s="97">
        <f>0.7*0.04</f>
        <v>2.7999999999999997E-2</v>
      </c>
      <c r="F40" t="s">
        <v>423</v>
      </c>
      <c r="G40">
        <v>2019</v>
      </c>
      <c r="H40" t="s">
        <v>422</v>
      </c>
      <c r="I40" t="s">
        <v>394</v>
      </c>
      <c r="J40" s="118" t="s">
        <v>393</v>
      </c>
    </row>
    <row r="41" spans="1:10" x14ac:dyDescent="0.25">
      <c r="B41" s="83" t="s">
        <v>421</v>
      </c>
      <c r="C41" s="83" t="s">
        <v>420</v>
      </c>
      <c r="D41" s="83" t="s">
        <v>419</v>
      </c>
      <c r="E41" s="106">
        <f>1.6*(AVERAGE(E42:E44)/1000)</f>
        <v>0.22826666666666667</v>
      </c>
      <c r="F41" t="s">
        <v>409</v>
      </c>
      <c r="G41">
        <v>2019</v>
      </c>
      <c r="H41" t="s">
        <v>418</v>
      </c>
      <c r="I41" t="s">
        <v>394</v>
      </c>
      <c r="J41" s="118" t="s">
        <v>393</v>
      </c>
    </row>
    <row r="42" spans="1:10" x14ac:dyDescent="0.25">
      <c r="B42" s="96" t="s">
        <v>417</v>
      </c>
      <c r="C42" s="96"/>
      <c r="E42" s="119">
        <v>60</v>
      </c>
      <c r="F42" s="94" t="s">
        <v>413</v>
      </c>
      <c r="H42" s="94" t="s">
        <v>416</v>
      </c>
      <c r="J42" s="118"/>
    </row>
    <row r="43" spans="1:10" x14ac:dyDescent="0.25">
      <c r="B43" s="96" t="s">
        <v>415</v>
      </c>
      <c r="C43" s="96"/>
      <c r="E43" s="119">
        <v>230</v>
      </c>
      <c r="F43" s="94" t="s">
        <v>413</v>
      </c>
      <c r="J43" s="118"/>
    </row>
    <row r="44" spans="1:10" x14ac:dyDescent="0.25">
      <c r="B44" s="96" t="s">
        <v>414</v>
      </c>
      <c r="E44" s="119">
        <v>138</v>
      </c>
      <c r="F44" s="94" t="s">
        <v>413</v>
      </c>
      <c r="J44" s="118"/>
    </row>
    <row r="45" spans="1:10" x14ac:dyDescent="0.25">
      <c r="B45" s="83" t="s">
        <v>412</v>
      </c>
      <c r="C45" s="83" t="s">
        <v>411</v>
      </c>
      <c r="D45" s="83" t="s">
        <v>410</v>
      </c>
      <c r="E45" s="106">
        <f>2.9*0.08</f>
        <v>0.23199999999999998</v>
      </c>
      <c r="F45" t="s">
        <v>409</v>
      </c>
      <c r="G45">
        <v>2020</v>
      </c>
      <c r="H45" t="s">
        <v>408</v>
      </c>
      <c r="I45" t="s">
        <v>394</v>
      </c>
      <c r="J45" s="118" t="s">
        <v>393</v>
      </c>
    </row>
    <row r="46" spans="1:10" x14ac:dyDescent="0.25">
      <c r="A46" s="83" t="s">
        <v>407</v>
      </c>
      <c r="B46" s="83" t="s">
        <v>403</v>
      </c>
      <c r="C46" s="83" t="s">
        <v>406</v>
      </c>
      <c r="D46" s="83" t="s">
        <v>405</v>
      </c>
      <c r="E46" s="114">
        <v>5.6</v>
      </c>
      <c r="F46" t="s">
        <v>404</v>
      </c>
      <c r="G46">
        <v>2020</v>
      </c>
      <c r="I46" t="s">
        <v>394</v>
      </c>
      <c r="J46" s="118" t="s">
        <v>393</v>
      </c>
    </row>
    <row r="47" spans="1:10" x14ac:dyDescent="0.25">
      <c r="B47" s="83" t="s">
        <v>403</v>
      </c>
      <c r="C47" s="83" t="s">
        <v>402</v>
      </c>
      <c r="D47" s="83" t="s">
        <v>282</v>
      </c>
      <c r="E47" s="106">
        <f>5.6*0.057</f>
        <v>0.31919999999999998</v>
      </c>
      <c r="F47" t="s">
        <v>390</v>
      </c>
      <c r="G47">
        <v>2020</v>
      </c>
      <c r="H47" t="s">
        <v>401</v>
      </c>
    </row>
    <row r="48" spans="1:10" x14ac:dyDescent="0.25">
      <c r="B48" s="83" t="s">
        <v>400</v>
      </c>
      <c r="C48" s="83" t="s">
        <v>399</v>
      </c>
      <c r="D48" s="83" t="s">
        <v>282</v>
      </c>
      <c r="E48" s="106">
        <f>1.4/1.03</f>
        <v>1.3592233009708736</v>
      </c>
      <c r="F48" t="s">
        <v>390</v>
      </c>
      <c r="G48">
        <v>2020</v>
      </c>
      <c r="H48" t="s">
        <v>398</v>
      </c>
      <c r="I48" t="s">
        <v>394</v>
      </c>
      <c r="J48" s="118" t="s">
        <v>393</v>
      </c>
    </row>
    <row r="49" spans="1:10" x14ac:dyDescent="0.25">
      <c r="B49" s="83" t="s">
        <v>397</v>
      </c>
      <c r="C49" s="83" t="s">
        <v>396</v>
      </c>
      <c r="D49" s="83" t="s">
        <v>282</v>
      </c>
      <c r="E49" s="114">
        <v>0.4</v>
      </c>
      <c r="F49" t="s">
        <v>390</v>
      </c>
      <c r="G49">
        <v>2020</v>
      </c>
      <c r="H49" t="s">
        <v>395</v>
      </c>
      <c r="I49" t="s">
        <v>394</v>
      </c>
      <c r="J49" s="118" t="s">
        <v>393</v>
      </c>
    </row>
    <row r="50" spans="1:10" x14ac:dyDescent="0.25">
      <c r="B50" s="83" t="s">
        <v>392</v>
      </c>
      <c r="C50" s="83" t="s">
        <v>391</v>
      </c>
      <c r="D50" s="83" t="s">
        <v>282</v>
      </c>
      <c r="E50" s="97">
        <f>0.000515*1000</f>
        <v>0.51500000000000001</v>
      </c>
      <c r="F50" t="s">
        <v>390</v>
      </c>
      <c r="G50">
        <v>2018</v>
      </c>
      <c r="I50" t="s">
        <v>389</v>
      </c>
    </row>
    <row r="51" spans="1:10" x14ac:dyDescent="0.25">
      <c r="E51" s="92"/>
    </row>
    <row r="52" spans="1:10" x14ac:dyDescent="0.25">
      <c r="E52" s="92"/>
    </row>
    <row r="53" spans="1:10" x14ac:dyDescent="0.25">
      <c r="A53" s="83" t="s">
        <v>34</v>
      </c>
      <c r="B53" s="83" t="s">
        <v>388</v>
      </c>
      <c r="C53" s="83" t="s">
        <v>387</v>
      </c>
      <c r="D53" s="83" t="s">
        <v>344</v>
      </c>
      <c r="E53" s="85">
        <f>0.152*1.4</f>
        <v>0.21279999999999999</v>
      </c>
      <c r="F53" t="s">
        <v>343</v>
      </c>
      <c r="G53">
        <v>2020</v>
      </c>
      <c r="H53" t="s">
        <v>386</v>
      </c>
      <c r="I53" s="93" t="s">
        <v>351</v>
      </c>
    </row>
    <row r="54" spans="1:10" ht="15.75" customHeight="1" x14ac:dyDescent="0.25">
      <c r="B54" s="79" t="s">
        <v>385</v>
      </c>
      <c r="C54" s="79" t="s">
        <v>384</v>
      </c>
      <c r="D54" s="83" t="s">
        <v>344</v>
      </c>
      <c r="E54" s="92">
        <f>0.152*1.4/2.3</f>
        <v>9.252173913043478E-2</v>
      </c>
      <c r="F54" t="s">
        <v>343</v>
      </c>
      <c r="G54">
        <v>2020</v>
      </c>
      <c r="H54" t="s">
        <v>376</v>
      </c>
      <c r="I54" s="93" t="s">
        <v>351</v>
      </c>
    </row>
    <row r="55" spans="1:10" x14ac:dyDescent="0.25">
      <c r="B55" s="83" t="s">
        <v>383</v>
      </c>
      <c r="C55" s="83" t="s">
        <v>382</v>
      </c>
      <c r="D55" s="83" t="s">
        <v>344</v>
      </c>
      <c r="E55" s="97">
        <v>3.5999999999999997E-2</v>
      </c>
      <c r="F55" t="s">
        <v>343</v>
      </c>
      <c r="G55">
        <v>2020</v>
      </c>
      <c r="H55" t="s">
        <v>381</v>
      </c>
      <c r="I55" s="93" t="s">
        <v>351</v>
      </c>
    </row>
    <row r="56" spans="1:10" x14ac:dyDescent="0.25">
      <c r="B56" s="83" t="s">
        <v>380</v>
      </c>
      <c r="C56" s="83" t="s">
        <v>379</v>
      </c>
      <c r="D56" s="83" t="s">
        <v>344</v>
      </c>
      <c r="E56" s="84">
        <f>AVERAGE(E57:E58)</f>
        <v>5.2709999999999993E-2</v>
      </c>
      <c r="F56" t="s">
        <v>343</v>
      </c>
      <c r="G56">
        <v>2021</v>
      </c>
    </row>
    <row r="57" spans="1:10" x14ac:dyDescent="0.25">
      <c r="B57" s="96" t="s">
        <v>367</v>
      </c>
      <c r="D57" s="96"/>
      <c r="E57" s="111">
        <f>21/100*E78</f>
        <v>9.1979999999999992E-2</v>
      </c>
      <c r="F57" s="94" t="s">
        <v>343</v>
      </c>
      <c r="H57" s="94" t="s">
        <v>375</v>
      </c>
      <c r="I57" s="94"/>
      <c r="J57" s="117"/>
    </row>
    <row r="58" spans="1:10" x14ac:dyDescent="0.25">
      <c r="B58" s="96" t="s">
        <v>366</v>
      </c>
      <c r="D58" s="96"/>
      <c r="E58" s="111">
        <f>21/100*E79</f>
        <v>1.3440000000000001E-2</v>
      </c>
      <c r="F58" s="94" t="s">
        <v>343</v>
      </c>
      <c r="H58" s="94" t="s">
        <v>375</v>
      </c>
      <c r="I58" s="94"/>
      <c r="J58" s="117"/>
    </row>
    <row r="59" spans="1:10" x14ac:dyDescent="0.25">
      <c r="B59" s="83" t="s">
        <v>378</v>
      </c>
      <c r="C59" s="83" t="s">
        <v>377</v>
      </c>
      <c r="D59" s="83" t="s">
        <v>344</v>
      </c>
      <c r="E59" s="84">
        <f>AVERAGE(E60:E61)</f>
        <v>2.2917391304347827E-2</v>
      </c>
      <c r="F59" t="s">
        <v>343</v>
      </c>
      <c r="G59">
        <v>2021</v>
      </c>
      <c r="H59" t="s">
        <v>376</v>
      </c>
    </row>
    <row r="60" spans="1:10" x14ac:dyDescent="0.25">
      <c r="B60" s="96" t="s">
        <v>367</v>
      </c>
      <c r="D60" s="96"/>
      <c r="E60" s="95">
        <f>21/100*E78/2.3</f>
        <v>3.9991304347826086E-2</v>
      </c>
      <c r="F60" s="94" t="s">
        <v>343</v>
      </c>
      <c r="H60" s="94" t="s">
        <v>375</v>
      </c>
      <c r="I60" s="94"/>
    </row>
    <row r="61" spans="1:10" x14ac:dyDescent="0.25">
      <c r="B61" s="96" t="s">
        <v>366</v>
      </c>
      <c r="D61" s="96"/>
      <c r="E61" s="111">
        <f>21/100*E79/2.3</f>
        <v>5.8434782608695656E-3</v>
      </c>
      <c r="F61" s="94" t="s">
        <v>343</v>
      </c>
      <c r="H61" s="94" t="s">
        <v>375</v>
      </c>
      <c r="I61" s="94"/>
    </row>
    <row r="62" spans="1:10" x14ac:dyDescent="0.25">
      <c r="B62" s="83" t="s">
        <v>374</v>
      </c>
      <c r="C62" s="83" t="s">
        <v>373</v>
      </c>
      <c r="D62" s="83" t="s">
        <v>344</v>
      </c>
      <c r="E62" s="84">
        <f>AVERAGE(E63:E64)</f>
        <v>3.5139999999999998E-3</v>
      </c>
      <c r="F62" t="s">
        <v>343</v>
      </c>
      <c r="G62">
        <v>2021</v>
      </c>
      <c r="H62" t="s">
        <v>368</v>
      </c>
    </row>
    <row r="63" spans="1:10" x14ac:dyDescent="0.25">
      <c r="B63" s="96" t="s">
        <v>367</v>
      </c>
      <c r="D63" s="96"/>
      <c r="E63" s="111">
        <f>1.4/100*E78</f>
        <v>6.1319999999999994E-3</v>
      </c>
      <c r="F63" s="94" t="s">
        <v>343</v>
      </c>
      <c r="H63" s="94" t="s">
        <v>372</v>
      </c>
      <c r="I63" s="94" t="s">
        <v>371</v>
      </c>
    </row>
    <row r="64" spans="1:10" x14ac:dyDescent="0.25">
      <c r="B64" s="96" t="s">
        <v>366</v>
      </c>
      <c r="D64" s="96"/>
      <c r="E64" s="111">
        <f>1.4/100*E79</f>
        <v>8.9599999999999988E-4</v>
      </c>
      <c r="F64" s="94" t="s">
        <v>343</v>
      </c>
      <c r="H64" s="94" t="s">
        <v>372</v>
      </c>
      <c r="I64" s="94" t="s">
        <v>371</v>
      </c>
    </row>
    <row r="65" spans="1:10" x14ac:dyDescent="0.25">
      <c r="B65" s="83" t="s">
        <v>370</v>
      </c>
      <c r="C65" s="83" t="s">
        <v>369</v>
      </c>
      <c r="D65" s="83" t="s">
        <v>344</v>
      </c>
      <c r="E65" s="92">
        <f>AVERAGE(E66:E67)</f>
        <v>3.7649999999999997E-3</v>
      </c>
      <c r="F65" t="s">
        <v>343</v>
      </c>
      <c r="G65">
        <v>2021</v>
      </c>
      <c r="H65" t="s">
        <v>368</v>
      </c>
    </row>
    <row r="66" spans="1:10" x14ac:dyDescent="0.25">
      <c r="B66" s="96" t="s">
        <v>367</v>
      </c>
      <c r="D66" s="96"/>
      <c r="E66" s="111">
        <f>1.5/100*E78</f>
        <v>6.5699999999999995E-3</v>
      </c>
      <c r="F66" s="94" t="s">
        <v>343</v>
      </c>
      <c r="H66" s="94" t="s">
        <v>365</v>
      </c>
      <c r="I66" s="94" t="s">
        <v>364</v>
      </c>
    </row>
    <row r="67" spans="1:10" x14ac:dyDescent="0.25">
      <c r="B67" s="96" t="s">
        <v>366</v>
      </c>
      <c r="D67" s="96"/>
      <c r="E67" s="111">
        <f>1.5/100*E79</f>
        <v>9.6000000000000002E-4</v>
      </c>
      <c r="F67" s="94" t="s">
        <v>343</v>
      </c>
      <c r="H67" s="94" t="s">
        <v>365</v>
      </c>
      <c r="I67" s="94" t="s">
        <v>364</v>
      </c>
    </row>
    <row r="68" spans="1:10" x14ac:dyDescent="0.25">
      <c r="B68" s="83" t="s">
        <v>363</v>
      </c>
      <c r="C68" s="104" t="s">
        <v>362</v>
      </c>
      <c r="D68" s="83" t="s">
        <v>344</v>
      </c>
      <c r="E68" s="116">
        <v>0.11355</v>
      </c>
      <c r="F68" t="s">
        <v>343</v>
      </c>
      <c r="G68">
        <v>2021</v>
      </c>
      <c r="H68" t="s">
        <v>361</v>
      </c>
      <c r="I68" t="s">
        <v>341</v>
      </c>
      <c r="J68" s="93" t="s">
        <v>227</v>
      </c>
    </row>
    <row r="69" spans="1:10" x14ac:dyDescent="0.25">
      <c r="B69" s="83" t="s">
        <v>360</v>
      </c>
      <c r="C69" s="104" t="s">
        <v>359</v>
      </c>
      <c r="D69" s="83" t="s">
        <v>344</v>
      </c>
      <c r="E69" s="97">
        <f>AVERAGE(E70:E72)</f>
        <v>6.4000000000000001E-2</v>
      </c>
      <c r="F69" t="s">
        <v>343</v>
      </c>
      <c r="H69" t="s">
        <v>358</v>
      </c>
      <c r="I69" s="93" t="s">
        <v>351</v>
      </c>
    </row>
    <row r="70" spans="1:10" x14ac:dyDescent="0.25">
      <c r="B70" s="104" t="s">
        <v>357</v>
      </c>
      <c r="D70" s="83" t="s">
        <v>344</v>
      </c>
      <c r="E70" s="97">
        <v>5.3999999999999999E-2</v>
      </c>
      <c r="F70" t="s">
        <v>343</v>
      </c>
      <c r="G70">
        <v>2019</v>
      </c>
      <c r="H70" t="s">
        <v>348</v>
      </c>
      <c r="I70" s="93" t="s">
        <v>351</v>
      </c>
    </row>
    <row r="71" spans="1:10" x14ac:dyDescent="0.25">
      <c r="B71" s="104" t="s">
        <v>356</v>
      </c>
      <c r="D71" s="83" t="s">
        <v>344</v>
      </c>
      <c r="E71" s="97">
        <v>8.3000000000000004E-2</v>
      </c>
      <c r="F71" t="s">
        <v>343</v>
      </c>
      <c r="G71">
        <v>2019</v>
      </c>
      <c r="H71" t="s">
        <v>348</v>
      </c>
      <c r="I71" s="93" t="s">
        <v>351</v>
      </c>
    </row>
    <row r="72" spans="1:10" x14ac:dyDescent="0.25">
      <c r="B72" s="104" t="s">
        <v>355</v>
      </c>
      <c r="C72" s="96"/>
      <c r="D72" s="83" t="s">
        <v>344</v>
      </c>
      <c r="E72" s="97">
        <v>5.5E-2</v>
      </c>
      <c r="F72" t="s">
        <v>343</v>
      </c>
      <c r="G72">
        <v>2019</v>
      </c>
      <c r="H72" t="s">
        <v>348</v>
      </c>
      <c r="I72" s="93" t="s">
        <v>351</v>
      </c>
    </row>
    <row r="73" spans="1:10" x14ac:dyDescent="0.25">
      <c r="B73" s="104" t="s">
        <v>354</v>
      </c>
      <c r="C73" s="83" t="s">
        <v>353</v>
      </c>
      <c r="D73" s="83" t="s">
        <v>344</v>
      </c>
      <c r="E73" s="92">
        <f>AVERAGE(E74:E75)</f>
        <v>0.23020000000000002</v>
      </c>
      <c r="F73" t="s">
        <v>343</v>
      </c>
      <c r="G73">
        <v>2019</v>
      </c>
      <c r="H73" t="s">
        <v>352</v>
      </c>
      <c r="I73" s="93" t="s">
        <v>351</v>
      </c>
    </row>
    <row r="74" spans="1:10" x14ac:dyDescent="0.25">
      <c r="B74" s="96" t="s">
        <v>350</v>
      </c>
      <c r="D74" s="96"/>
      <c r="E74" s="111">
        <f>0.0002475*1000</f>
        <v>0.2475</v>
      </c>
      <c r="F74" s="94" t="s">
        <v>343</v>
      </c>
      <c r="G74">
        <v>2019</v>
      </c>
      <c r="H74" t="s">
        <v>348</v>
      </c>
      <c r="I74" s="94" t="s">
        <v>347</v>
      </c>
    </row>
    <row r="75" spans="1:10" x14ac:dyDescent="0.25">
      <c r="B75" s="96" t="s">
        <v>349</v>
      </c>
      <c r="D75" s="96"/>
      <c r="E75" s="111">
        <f>0.0002129*1000</f>
        <v>0.21290000000000001</v>
      </c>
      <c r="F75" s="94" t="s">
        <v>343</v>
      </c>
      <c r="G75">
        <v>2019</v>
      </c>
      <c r="H75" t="s">
        <v>348</v>
      </c>
      <c r="I75" s="94" t="s">
        <v>347</v>
      </c>
    </row>
    <row r="76" spans="1:10" x14ac:dyDescent="0.25">
      <c r="B76" s="83" t="s">
        <v>346</v>
      </c>
      <c r="C76" s="83" t="s">
        <v>345</v>
      </c>
      <c r="D76" s="83" t="s">
        <v>344</v>
      </c>
      <c r="E76" s="115">
        <v>1.8738000000000001E-2</v>
      </c>
      <c r="F76" t="s">
        <v>343</v>
      </c>
      <c r="G76">
        <v>2021</v>
      </c>
      <c r="H76" t="s">
        <v>342</v>
      </c>
      <c r="I76" t="s">
        <v>341</v>
      </c>
      <c r="J76" s="93" t="s">
        <v>227</v>
      </c>
    </row>
    <row r="77" spans="1:10" x14ac:dyDescent="0.25">
      <c r="E77" s="92"/>
    </row>
    <row r="78" spans="1:10" x14ac:dyDescent="0.25">
      <c r="A78" s="83" t="s">
        <v>31</v>
      </c>
      <c r="B78" s="83" t="s">
        <v>340</v>
      </c>
      <c r="C78" s="83" t="s">
        <v>339</v>
      </c>
      <c r="D78" s="83" t="s">
        <v>656</v>
      </c>
      <c r="E78" s="97">
        <v>0.438</v>
      </c>
      <c r="F78" t="s">
        <v>241</v>
      </c>
      <c r="G78">
        <v>2020</v>
      </c>
      <c r="H78" t="s">
        <v>338</v>
      </c>
      <c r="I78" s="93" t="s">
        <v>274</v>
      </c>
    </row>
    <row r="79" spans="1:10" x14ac:dyDescent="0.25">
      <c r="B79" s="83" t="s">
        <v>337</v>
      </c>
      <c r="C79" s="83" t="s">
        <v>336</v>
      </c>
      <c r="D79" s="83" t="s">
        <v>242</v>
      </c>
      <c r="E79" s="97">
        <v>6.4000000000000001E-2</v>
      </c>
      <c r="F79" t="s">
        <v>241</v>
      </c>
      <c r="G79">
        <v>2020</v>
      </c>
      <c r="I79" t="s">
        <v>335</v>
      </c>
      <c r="J79" s="93" t="s">
        <v>334</v>
      </c>
    </row>
    <row r="80" spans="1:10" x14ac:dyDescent="0.25">
      <c r="B80" s="83" t="s">
        <v>333</v>
      </c>
      <c r="C80" s="83" t="s">
        <v>332</v>
      </c>
      <c r="D80" s="83" t="s">
        <v>242</v>
      </c>
      <c r="E80" s="89">
        <v>5.5714E-2</v>
      </c>
      <c r="F80" t="s">
        <v>241</v>
      </c>
      <c r="G80">
        <v>2021</v>
      </c>
      <c r="I80" s="100" t="s">
        <v>245</v>
      </c>
    </row>
    <row r="81" spans="1:9" x14ac:dyDescent="0.25">
      <c r="B81" s="83" t="s">
        <v>331</v>
      </c>
      <c r="C81" s="83" t="s">
        <v>330</v>
      </c>
      <c r="D81" s="83" t="s">
        <v>242</v>
      </c>
      <c r="E81" s="89">
        <v>2.6489999999999999E-3</v>
      </c>
      <c r="F81" t="s">
        <v>241</v>
      </c>
      <c r="G81">
        <v>2021</v>
      </c>
      <c r="I81" s="100" t="s">
        <v>245</v>
      </c>
    </row>
    <row r="83" spans="1:9" x14ac:dyDescent="0.25">
      <c r="E83" s="92"/>
    </row>
    <row r="84" spans="1:9" x14ac:dyDescent="0.25">
      <c r="A84" s="83" t="s">
        <v>32</v>
      </c>
      <c r="B84" s="83" t="s">
        <v>329</v>
      </c>
      <c r="C84" s="83" t="s">
        <v>328</v>
      </c>
      <c r="D84" s="83" t="s">
        <v>242</v>
      </c>
      <c r="E84" s="109">
        <v>0.152</v>
      </c>
      <c r="F84" t="s">
        <v>241</v>
      </c>
      <c r="G84">
        <v>2021</v>
      </c>
      <c r="I84" s="93" t="s">
        <v>302</v>
      </c>
    </row>
    <row r="85" spans="1:9" x14ac:dyDescent="0.25">
      <c r="B85" s="83" t="s">
        <v>323</v>
      </c>
      <c r="C85" s="83" t="s">
        <v>327</v>
      </c>
      <c r="D85" s="83" t="s">
        <v>242</v>
      </c>
      <c r="E85" s="97">
        <v>2.7E-2</v>
      </c>
      <c r="F85" t="s">
        <v>241</v>
      </c>
      <c r="G85">
        <v>2021</v>
      </c>
      <c r="I85" s="93" t="s">
        <v>302</v>
      </c>
    </row>
    <row r="86" spans="1:9" x14ac:dyDescent="0.25">
      <c r="B86" s="83" t="s">
        <v>323</v>
      </c>
      <c r="C86" s="83" t="s">
        <v>326</v>
      </c>
      <c r="D86" s="83" t="s">
        <v>325</v>
      </c>
      <c r="E86" s="114">
        <f>0.027*800</f>
        <v>21.6</v>
      </c>
      <c r="F86" t="s">
        <v>324</v>
      </c>
      <c r="G86">
        <v>2021</v>
      </c>
      <c r="I86" s="93" t="s">
        <v>302</v>
      </c>
    </row>
    <row r="87" spans="1:9" x14ac:dyDescent="0.25">
      <c r="B87" s="83" t="s">
        <v>323</v>
      </c>
      <c r="C87" s="83" t="s">
        <v>322</v>
      </c>
      <c r="D87" s="83" t="s">
        <v>319</v>
      </c>
      <c r="E87" s="105">
        <f>0.027*4000</f>
        <v>108</v>
      </c>
      <c r="F87" t="s">
        <v>102</v>
      </c>
      <c r="G87">
        <v>2021</v>
      </c>
      <c r="I87" s="93" t="s">
        <v>302</v>
      </c>
    </row>
    <row r="88" spans="1:9" x14ac:dyDescent="0.25">
      <c r="B88" s="83" t="s">
        <v>318</v>
      </c>
      <c r="C88" s="83" t="s">
        <v>321</v>
      </c>
      <c r="D88" s="83" t="s">
        <v>242</v>
      </c>
      <c r="E88" s="97">
        <v>3.5999999999999997E-2</v>
      </c>
      <c r="F88" t="s">
        <v>241</v>
      </c>
      <c r="G88">
        <v>2021</v>
      </c>
      <c r="I88" s="93" t="s">
        <v>302</v>
      </c>
    </row>
    <row r="89" spans="1:9" x14ac:dyDescent="0.25">
      <c r="B89" s="83" t="s">
        <v>318</v>
      </c>
      <c r="C89" s="83" t="s">
        <v>320</v>
      </c>
      <c r="D89" s="83" t="s">
        <v>319</v>
      </c>
      <c r="E89" s="101">
        <f>0.036*5000</f>
        <v>180</v>
      </c>
      <c r="F89" t="s">
        <v>102</v>
      </c>
      <c r="G89">
        <v>2021</v>
      </c>
      <c r="I89" s="93" t="s">
        <v>302</v>
      </c>
    </row>
    <row r="90" spans="1:9" x14ac:dyDescent="0.25">
      <c r="B90" s="83" t="s">
        <v>318</v>
      </c>
      <c r="C90" s="83" t="s">
        <v>317</v>
      </c>
      <c r="D90" s="83" t="s">
        <v>98</v>
      </c>
      <c r="E90" s="101">
        <f>0.036*3250</f>
        <v>116.99999999999999</v>
      </c>
      <c r="F90" t="s">
        <v>99</v>
      </c>
      <c r="G90">
        <v>2021</v>
      </c>
      <c r="I90" s="93" t="s">
        <v>302</v>
      </c>
    </row>
    <row r="91" spans="1:9" x14ac:dyDescent="0.25">
      <c r="B91" s="83" t="s">
        <v>315</v>
      </c>
      <c r="C91" s="83" t="s">
        <v>316</v>
      </c>
      <c r="D91" s="83" t="s">
        <v>242</v>
      </c>
      <c r="E91" s="97">
        <v>0.247</v>
      </c>
      <c r="F91" t="s">
        <v>241</v>
      </c>
      <c r="G91">
        <v>2020</v>
      </c>
      <c r="I91" t="s">
        <v>286</v>
      </c>
    </row>
    <row r="92" spans="1:9" x14ac:dyDescent="0.25">
      <c r="B92" s="83" t="s">
        <v>315</v>
      </c>
      <c r="C92" s="83" t="s">
        <v>314</v>
      </c>
      <c r="D92" s="83" t="s">
        <v>98</v>
      </c>
      <c r="E92" s="113">
        <f>E91*9.77</f>
        <v>2.4131899999999997</v>
      </c>
      <c r="F92" t="s">
        <v>99</v>
      </c>
      <c r="G92">
        <v>2021</v>
      </c>
      <c r="H92" t="s">
        <v>313</v>
      </c>
      <c r="I92" t="s">
        <v>286</v>
      </c>
    </row>
    <row r="93" spans="1:9" x14ac:dyDescent="0.25">
      <c r="B93" s="83" t="s">
        <v>312</v>
      </c>
      <c r="C93" s="83" t="s">
        <v>308</v>
      </c>
      <c r="D93" s="83" t="s">
        <v>242</v>
      </c>
      <c r="E93" s="110">
        <f>AVERAGE(E94:E95)</f>
        <v>0.4224</v>
      </c>
      <c r="F93" t="s">
        <v>241</v>
      </c>
      <c r="G93">
        <v>2005</v>
      </c>
      <c r="H93" t="s">
        <v>311</v>
      </c>
      <c r="I93" s="112" t="s">
        <v>298</v>
      </c>
    </row>
    <row r="94" spans="1:9" x14ac:dyDescent="0.25">
      <c r="B94" s="96" t="s">
        <v>310</v>
      </c>
      <c r="D94" s="96" t="s">
        <v>242</v>
      </c>
      <c r="E94" s="111">
        <v>0.38939999999999997</v>
      </c>
      <c r="F94" s="94" t="s">
        <v>241</v>
      </c>
      <c r="G94" s="94"/>
      <c r="H94" s="94" t="s">
        <v>307</v>
      </c>
      <c r="I94" s="94" t="s">
        <v>298</v>
      </c>
    </row>
    <row r="95" spans="1:9" x14ac:dyDescent="0.25">
      <c r="B95" s="96" t="s">
        <v>309</v>
      </c>
      <c r="C95" s="83" t="s">
        <v>308</v>
      </c>
      <c r="D95" s="96" t="s">
        <v>242</v>
      </c>
      <c r="E95" s="111">
        <v>0.45539999999999997</v>
      </c>
      <c r="F95" s="94" t="s">
        <v>241</v>
      </c>
      <c r="G95" s="94"/>
      <c r="H95" s="94" t="s">
        <v>307</v>
      </c>
      <c r="I95" s="94" t="s">
        <v>298</v>
      </c>
    </row>
    <row r="96" spans="1:9" x14ac:dyDescent="0.25">
      <c r="B96" s="83" t="s">
        <v>306</v>
      </c>
      <c r="C96" s="83" t="s">
        <v>305</v>
      </c>
      <c r="D96" s="83" t="s">
        <v>242</v>
      </c>
      <c r="E96" s="109">
        <f>0.247/0.93/0.85</f>
        <v>0.312460468058191</v>
      </c>
      <c r="F96" t="s">
        <v>290</v>
      </c>
      <c r="G96">
        <v>2021</v>
      </c>
      <c r="H96" t="s">
        <v>293</v>
      </c>
      <c r="I96" s="93" t="s">
        <v>302</v>
      </c>
    </row>
    <row r="97" spans="1:14" x14ac:dyDescent="0.25">
      <c r="B97" s="83" t="s">
        <v>304</v>
      </c>
      <c r="C97" s="83" t="s">
        <v>303</v>
      </c>
      <c r="D97" s="83" t="s">
        <v>242</v>
      </c>
      <c r="E97" s="109">
        <f>E84/0.93/0.85</f>
        <v>0.19228336495888676</v>
      </c>
      <c r="F97" t="s">
        <v>290</v>
      </c>
      <c r="G97">
        <v>2021</v>
      </c>
      <c r="H97" t="s">
        <v>293</v>
      </c>
      <c r="I97" s="93" t="s">
        <v>302</v>
      </c>
    </row>
    <row r="98" spans="1:14" x14ac:dyDescent="0.25">
      <c r="B98" s="83" t="s">
        <v>301</v>
      </c>
      <c r="C98" s="83" t="s">
        <v>300</v>
      </c>
      <c r="D98" s="83" t="s">
        <v>242</v>
      </c>
      <c r="E98" s="110">
        <f>0.1843/0.85</f>
        <v>0.21682352941176469</v>
      </c>
      <c r="F98" t="s">
        <v>290</v>
      </c>
      <c r="G98">
        <v>2005</v>
      </c>
      <c r="H98" t="s">
        <v>299</v>
      </c>
      <c r="I98" s="93" t="s">
        <v>298</v>
      </c>
    </row>
    <row r="99" spans="1:14" x14ac:dyDescent="0.25">
      <c r="B99" s="83" t="s">
        <v>297</v>
      </c>
      <c r="D99" s="83" t="s">
        <v>242</v>
      </c>
      <c r="E99" s="108">
        <v>0.04</v>
      </c>
      <c r="F99" t="s">
        <v>290</v>
      </c>
      <c r="G99">
        <v>2020</v>
      </c>
      <c r="H99" t="s">
        <v>296</v>
      </c>
      <c r="I99" s="93" t="s">
        <v>288</v>
      </c>
    </row>
    <row r="100" spans="1:14" x14ac:dyDescent="0.25">
      <c r="B100" s="83" t="s">
        <v>295</v>
      </c>
      <c r="C100" s="83" t="s">
        <v>294</v>
      </c>
      <c r="D100" s="83" t="s">
        <v>242</v>
      </c>
      <c r="E100" s="109">
        <f>0.027/0.93/0.85</f>
        <v>3.4155597722960153E-2</v>
      </c>
      <c r="F100" t="s">
        <v>290</v>
      </c>
      <c r="G100">
        <v>2021</v>
      </c>
      <c r="H100" t="s">
        <v>293</v>
      </c>
    </row>
    <row r="101" spans="1:14" x14ac:dyDescent="0.25">
      <c r="B101" s="83" t="s">
        <v>292</v>
      </c>
      <c r="C101" s="83" t="s">
        <v>291</v>
      </c>
      <c r="D101" s="83" t="s">
        <v>242</v>
      </c>
      <c r="E101" s="108">
        <v>0.04</v>
      </c>
      <c r="F101" t="s">
        <v>290</v>
      </c>
      <c r="G101">
        <v>2020</v>
      </c>
      <c r="H101" t="s">
        <v>289</v>
      </c>
      <c r="I101" s="93" t="s">
        <v>288</v>
      </c>
    </row>
    <row r="102" spans="1:14" x14ac:dyDescent="0.25">
      <c r="B102" s="83" t="s">
        <v>285</v>
      </c>
      <c r="C102" s="107" t="s">
        <v>287</v>
      </c>
      <c r="D102" s="83" t="s">
        <v>242</v>
      </c>
      <c r="E102" s="97">
        <f>0.000276*1000</f>
        <v>0.27599999999999997</v>
      </c>
      <c r="F102" t="s">
        <v>241</v>
      </c>
      <c r="G102">
        <v>2020</v>
      </c>
      <c r="I102" t="s">
        <v>286</v>
      </c>
    </row>
    <row r="103" spans="1:14" x14ac:dyDescent="0.25">
      <c r="B103" s="83" t="s">
        <v>285</v>
      </c>
      <c r="C103" s="107" t="s">
        <v>284</v>
      </c>
      <c r="D103" s="83" t="s">
        <v>98</v>
      </c>
      <c r="E103" s="101">
        <f>0.000276*1000*6.57*1000</f>
        <v>1813.3199999999997</v>
      </c>
      <c r="F103" t="s">
        <v>99</v>
      </c>
      <c r="G103">
        <v>2020</v>
      </c>
    </row>
    <row r="104" spans="1:14" x14ac:dyDescent="0.25">
      <c r="B104" s="83" t="s">
        <v>281</v>
      </c>
      <c r="C104" s="107" t="s">
        <v>283</v>
      </c>
      <c r="D104" t="s">
        <v>282</v>
      </c>
      <c r="E104" s="106">
        <f>0.000318*1000*9.94</f>
        <v>3.16092</v>
      </c>
      <c r="F104" t="s">
        <v>241</v>
      </c>
      <c r="G104">
        <v>2020</v>
      </c>
      <c r="H104" t="s">
        <v>279</v>
      </c>
      <c r="I104" t="s">
        <v>278</v>
      </c>
    </row>
    <row r="105" spans="1:14" x14ac:dyDescent="0.25">
      <c r="B105" s="83" t="s">
        <v>281</v>
      </c>
      <c r="C105" s="83" t="s">
        <v>280</v>
      </c>
      <c r="D105" t="s">
        <v>242</v>
      </c>
      <c r="E105" s="97">
        <f>0.000318*1000</f>
        <v>0.318</v>
      </c>
      <c r="F105" t="s">
        <v>241</v>
      </c>
      <c r="G105">
        <v>2020</v>
      </c>
      <c r="H105" t="s">
        <v>279</v>
      </c>
      <c r="I105" t="s">
        <v>278</v>
      </c>
    </row>
    <row r="106" spans="1:14" x14ac:dyDescent="0.25">
      <c r="B106" s="83" t="s">
        <v>277</v>
      </c>
      <c r="C106" s="83" t="s">
        <v>276</v>
      </c>
      <c r="D106" s="83" t="s">
        <v>242</v>
      </c>
      <c r="E106" s="97">
        <f>E78</f>
        <v>0.438</v>
      </c>
      <c r="F106" t="s">
        <v>241</v>
      </c>
      <c r="G106">
        <v>2021</v>
      </c>
      <c r="H106" t="s">
        <v>275</v>
      </c>
      <c r="I106" s="93" t="s">
        <v>274</v>
      </c>
    </row>
    <row r="107" spans="1:14" x14ac:dyDescent="0.25">
      <c r="B107" s="83" t="s">
        <v>619</v>
      </c>
      <c r="E107" s="114">
        <v>3.1</v>
      </c>
      <c r="I107" s="93"/>
    </row>
    <row r="108" spans="1:14" x14ac:dyDescent="0.25">
      <c r="B108" s="83" t="s">
        <v>620</v>
      </c>
      <c r="E108" s="114">
        <v>3.8</v>
      </c>
      <c r="I108" s="93"/>
    </row>
    <row r="109" spans="1:14" x14ac:dyDescent="0.25">
      <c r="E109" s="92"/>
      <c r="I109" s="93"/>
    </row>
    <row r="110" spans="1:14" ht="30" x14ac:dyDescent="0.25">
      <c r="A110" s="104" t="s">
        <v>273</v>
      </c>
      <c r="B110" s="104" t="s">
        <v>272</v>
      </c>
      <c r="C110" s="83" t="s">
        <v>271</v>
      </c>
      <c r="D110" s="83" t="s">
        <v>270</v>
      </c>
      <c r="E110" s="105">
        <v>800</v>
      </c>
      <c r="I110" s="102" t="s">
        <v>262</v>
      </c>
      <c r="N110" s="93" t="s">
        <v>261</v>
      </c>
    </row>
    <row r="111" spans="1:14" x14ac:dyDescent="0.25">
      <c r="A111" s="104"/>
      <c r="B111" s="104" t="s">
        <v>269</v>
      </c>
      <c r="C111" s="83" t="s">
        <v>268</v>
      </c>
      <c r="D111" s="83" t="s">
        <v>265</v>
      </c>
      <c r="E111" s="105">
        <v>4000</v>
      </c>
      <c r="I111" s="102" t="s">
        <v>262</v>
      </c>
      <c r="N111" s="93" t="s">
        <v>261</v>
      </c>
    </row>
    <row r="112" spans="1:14" x14ac:dyDescent="0.25">
      <c r="A112" s="104"/>
      <c r="B112" s="104" t="s">
        <v>267</v>
      </c>
      <c r="C112" s="83" t="s">
        <v>266</v>
      </c>
      <c r="D112" s="83" t="s">
        <v>265</v>
      </c>
      <c r="E112" s="101">
        <v>5000</v>
      </c>
      <c r="I112" s="102" t="s">
        <v>262</v>
      </c>
      <c r="N112" s="93" t="s">
        <v>261</v>
      </c>
    </row>
    <row r="113" spans="1:14" x14ac:dyDescent="0.25">
      <c r="A113" s="104"/>
      <c r="B113" s="104" t="s">
        <v>264</v>
      </c>
      <c r="C113" s="83" t="s">
        <v>263</v>
      </c>
      <c r="D113" s="83" t="s">
        <v>256</v>
      </c>
      <c r="E113" s="101">
        <v>3250</v>
      </c>
      <c r="I113" s="102" t="s">
        <v>262</v>
      </c>
      <c r="N113" s="93" t="s">
        <v>261</v>
      </c>
    </row>
    <row r="114" spans="1:14" x14ac:dyDescent="0.25">
      <c r="A114" s="104"/>
      <c r="B114" s="104" t="s">
        <v>260</v>
      </c>
      <c r="C114" s="83" t="s">
        <v>259</v>
      </c>
      <c r="D114" s="83" t="s">
        <v>256</v>
      </c>
      <c r="E114" s="103">
        <v>9.77</v>
      </c>
      <c r="I114" s="102" t="s">
        <v>252</v>
      </c>
    </row>
    <row r="115" spans="1:14" x14ac:dyDescent="0.25">
      <c r="A115" s="104"/>
      <c r="B115" s="104" t="s">
        <v>258</v>
      </c>
      <c r="C115" s="83" t="s">
        <v>257</v>
      </c>
      <c r="D115" s="83" t="s">
        <v>256</v>
      </c>
      <c r="E115" s="105">
        <v>6570</v>
      </c>
      <c r="I115" s="102" t="s">
        <v>252</v>
      </c>
    </row>
    <row r="116" spans="1:14" x14ac:dyDescent="0.25">
      <c r="A116" s="104"/>
      <c r="B116" s="104" t="s">
        <v>255</v>
      </c>
      <c r="C116" s="83" t="s">
        <v>254</v>
      </c>
      <c r="D116" s="83" t="s">
        <v>253</v>
      </c>
      <c r="E116" s="103">
        <v>9.94</v>
      </c>
      <c r="I116" s="102" t="s">
        <v>252</v>
      </c>
    </row>
    <row r="117" spans="1:14" x14ac:dyDescent="0.25">
      <c r="B117" s="83" t="s">
        <v>251</v>
      </c>
      <c r="C117" s="83" t="s">
        <v>250</v>
      </c>
      <c r="D117" s="83" t="s">
        <v>249</v>
      </c>
      <c r="E117" s="101">
        <v>350</v>
      </c>
      <c r="I117" s="93" t="s">
        <v>248</v>
      </c>
    </row>
    <row r="118" spans="1:14" x14ac:dyDescent="0.25">
      <c r="E118" s="92"/>
      <c r="I118" s="93"/>
    </row>
    <row r="119" spans="1:14" x14ac:dyDescent="0.25">
      <c r="E119" s="92"/>
    </row>
    <row r="120" spans="1:14" x14ac:dyDescent="0.25">
      <c r="B120" s="83" t="s">
        <v>240</v>
      </c>
      <c r="C120" s="83" t="s">
        <v>247</v>
      </c>
      <c r="D120" s="83" t="s">
        <v>242</v>
      </c>
      <c r="E120" s="89">
        <f>E121*0.8+E122*0.2</f>
        <v>1.1452400000000001E-2</v>
      </c>
      <c r="F120" t="s">
        <v>241</v>
      </c>
      <c r="G120">
        <v>2021</v>
      </c>
      <c r="H120" t="s">
        <v>246</v>
      </c>
      <c r="I120" s="100" t="s">
        <v>245</v>
      </c>
    </row>
    <row r="121" spans="1:14" x14ac:dyDescent="0.25">
      <c r="B121" s="96" t="s">
        <v>244</v>
      </c>
      <c r="D121" s="96" t="s">
        <v>242</v>
      </c>
      <c r="E121" s="99">
        <f>10.644/1000</f>
        <v>1.0644000000000001E-2</v>
      </c>
      <c r="F121" s="94" t="s">
        <v>241</v>
      </c>
      <c r="G121">
        <v>2021</v>
      </c>
      <c r="H121" s="94"/>
      <c r="I121" s="94"/>
    </row>
    <row r="122" spans="1:14" x14ac:dyDescent="0.25">
      <c r="B122" s="96" t="s">
        <v>243</v>
      </c>
      <c r="D122" s="96" t="s">
        <v>242</v>
      </c>
      <c r="E122" s="99">
        <f>14.686/1000</f>
        <v>1.4685999999999999E-2</v>
      </c>
      <c r="F122" s="94" t="s">
        <v>241</v>
      </c>
      <c r="G122">
        <v>2021</v>
      </c>
      <c r="H122" s="94"/>
      <c r="I122" s="94"/>
    </row>
    <row r="123" spans="1:14" x14ac:dyDescent="0.25">
      <c r="B123" s="83" t="s">
        <v>240</v>
      </c>
      <c r="C123" s="83" t="s">
        <v>239</v>
      </c>
      <c r="D123" s="83" t="s">
        <v>238</v>
      </c>
      <c r="E123" s="84">
        <f>E120*350</f>
        <v>4.0083400000000005</v>
      </c>
      <c r="F123" t="s">
        <v>237</v>
      </c>
      <c r="G123">
        <v>2021</v>
      </c>
      <c r="H123" t="s">
        <v>236</v>
      </c>
      <c r="I123" s="94"/>
    </row>
    <row r="124" spans="1:14" x14ac:dyDescent="0.25">
      <c r="C124" s="98"/>
      <c r="E124" s="92"/>
    </row>
    <row r="125" spans="1:14" x14ac:dyDescent="0.25">
      <c r="A125" s="83" t="s">
        <v>235</v>
      </c>
      <c r="B125" s="83" t="s">
        <v>234</v>
      </c>
      <c r="C125" s="98" t="s">
        <v>233</v>
      </c>
      <c r="D125" s="83" t="s">
        <v>98</v>
      </c>
      <c r="E125" s="97">
        <f>SUM(E126:E127)</f>
        <v>0.42100000000000004</v>
      </c>
      <c r="F125" t="s">
        <v>99</v>
      </c>
      <c r="G125">
        <v>2021</v>
      </c>
      <c r="I125" t="s">
        <v>228</v>
      </c>
      <c r="J125" s="93" t="s">
        <v>227</v>
      </c>
    </row>
    <row r="126" spans="1:14" x14ac:dyDescent="0.25">
      <c r="B126" s="96" t="s">
        <v>232</v>
      </c>
      <c r="D126" s="96" t="s">
        <v>98</v>
      </c>
      <c r="E126" s="95">
        <f>0.000149*1000</f>
        <v>0.14899999999999999</v>
      </c>
      <c r="F126" s="94" t="s">
        <v>99</v>
      </c>
      <c r="G126">
        <v>2021</v>
      </c>
      <c r="H126" s="94" t="s">
        <v>231</v>
      </c>
      <c r="I126" s="94" t="s">
        <v>228</v>
      </c>
      <c r="J126" s="93" t="s">
        <v>227</v>
      </c>
    </row>
    <row r="127" spans="1:14" x14ac:dyDescent="0.25">
      <c r="B127" s="96" t="s">
        <v>230</v>
      </c>
      <c r="D127" s="96" t="s">
        <v>98</v>
      </c>
      <c r="E127" s="95">
        <f>0.000272*1000</f>
        <v>0.27200000000000002</v>
      </c>
      <c r="F127" s="94" t="s">
        <v>99</v>
      </c>
      <c r="G127">
        <v>2021</v>
      </c>
      <c r="H127" s="94" t="s">
        <v>229</v>
      </c>
      <c r="I127" s="94" t="s">
        <v>228</v>
      </c>
      <c r="J127" s="93" t="s">
        <v>227</v>
      </c>
    </row>
    <row r="128" spans="1:14" x14ac:dyDescent="0.25">
      <c r="E128" s="92"/>
    </row>
    <row r="129" spans="1:9" ht="30" x14ac:dyDescent="0.25">
      <c r="A129" s="83" t="s">
        <v>226</v>
      </c>
      <c r="B129" s="83" t="s">
        <v>225</v>
      </c>
    </row>
    <row r="130" spans="1:9" x14ac:dyDescent="0.25">
      <c r="B130" s="83" t="s">
        <v>224</v>
      </c>
      <c r="C130" s="83" t="s">
        <v>223</v>
      </c>
      <c r="D130" s="83" t="s">
        <v>120</v>
      </c>
      <c r="E130" s="90">
        <v>4750</v>
      </c>
      <c r="F130" t="s">
        <v>119</v>
      </c>
      <c r="H130" t="s">
        <v>118</v>
      </c>
      <c r="I130" t="s">
        <v>117</v>
      </c>
    </row>
    <row r="131" spans="1:9" x14ac:dyDescent="0.25">
      <c r="B131" s="83" t="s">
        <v>222</v>
      </c>
      <c r="C131" s="83" t="s">
        <v>221</v>
      </c>
      <c r="D131" s="83" t="s">
        <v>120</v>
      </c>
      <c r="E131" s="90">
        <v>10900</v>
      </c>
      <c r="F131" t="s">
        <v>119</v>
      </c>
      <c r="H131" t="s">
        <v>118</v>
      </c>
      <c r="I131" t="s">
        <v>117</v>
      </c>
    </row>
    <row r="132" spans="1:9" x14ac:dyDescent="0.25">
      <c r="B132" s="83" t="s">
        <v>220</v>
      </c>
      <c r="C132" s="83" t="s">
        <v>219</v>
      </c>
      <c r="D132" s="83" t="s">
        <v>120</v>
      </c>
      <c r="E132" s="90">
        <v>14400</v>
      </c>
      <c r="F132" t="s">
        <v>119</v>
      </c>
      <c r="H132" t="s">
        <v>118</v>
      </c>
      <c r="I132" t="s">
        <v>117</v>
      </c>
    </row>
    <row r="133" spans="1:9" x14ac:dyDescent="0.25">
      <c r="B133" s="83" t="s">
        <v>218</v>
      </c>
      <c r="C133" s="83" t="s">
        <v>217</v>
      </c>
      <c r="D133" s="83" t="s">
        <v>120</v>
      </c>
      <c r="E133" s="90">
        <v>7140</v>
      </c>
      <c r="F133" t="s">
        <v>119</v>
      </c>
      <c r="H133" t="s">
        <v>118</v>
      </c>
      <c r="I133" t="s">
        <v>117</v>
      </c>
    </row>
    <row r="134" spans="1:9" x14ac:dyDescent="0.25">
      <c r="B134" s="83" t="s">
        <v>216</v>
      </c>
      <c r="C134" s="83" t="s">
        <v>215</v>
      </c>
      <c r="D134" s="83" t="s">
        <v>120</v>
      </c>
      <c r="E134" s="90">
        <v>4657</v>
      </c>
      <c r="F134" t="s">
        <v>119</v>
      </c>
      <c r="H134" t="s">
        <v>118</v>
      </c>
      <c r="I134" t="s">
        <v>117</v>
      </c>
    </row>
    <row r="135" spans="1:9" x14ac:dyDescent="0.25">
      <c r="B135" s="83" t="s">
        <v>214</v>
      </c>
      <c r="C135" s="83" t="s">
        <v>213</v>
      </c>
      <c r="D135" s="83" t="s">
        <v>120</v>
      </c>
      <c r="E135" s="90">
        <v>1810</v>
      </c>
      <c r="F135" t="s">
        <v>119</v>
      </c>
      <c r="H135" t="s">
        <v>118</v>
      </c>
      <c r="I135" t="s">
        <v>117</v>
      </c>
    </row>
    <row r="136" spans="1:9" x14ac:dyDescent="0.25">
      <c r="B136" s="83" t="s">
        <v>212</v>
      </c>
      <c r="C136" s="83" t="s">
        <v>211</v>
      </c>
      <c r="D136" s="83" t="s">
        <v>120</v>
      </c>
      <c r="E136" s="90">
        <v>1182</v>
      </c>
      <c r="F136" t="s">
        <v>119</v>
      </c>
      <c r="H136" t="s">
        <v>118</v>
      </c>
      <c r="I136" t="s">
        <v>117</v>
      </c>
    </row>
    <row r="137" spans="1:9" x14ac:dyDescent="0.25">
      <c r="B137" s="83" t="s">
        <v>210</v>
      </c>
      <c r="C137" s="83" t="s">
        <v>209</v>
      </c>
      <c r="D137" s="83" t="s">
        <v>120</v>
      </c>
      <c r="E137" s="90">
        <v>2788</v>
      </c>
      <c r="F137" t="s">
        <v>119</v>
      </c>
      <c r="H137" t="s">
        <v>118</v>
      </c>
      <c r="I137" t="s">
        <v>117</v>
      </c>
    </row>
    <row r="138" spans="1:9" x14ac:dyDescent="0.25">
      <c r="B138" s="83" t="s">
        <v>208</v>
      </c>
      <c r="C138" s="83" t="s">
        <v>207</v>
      </c>
      <c r="D138" s="83" t="s">
        <v>120</v>
      </c>
      <c r="E138" s="90">
        <v>2416</v>
      </c>
      <c r="F138" t="s">
        <v>119</v>
      </c>
      <c r="H138" t="s">
        <v>118</v>
      </c>
      <c r="I138" t="s">
        <v>117</v>
      </c>
    </row>
    <row r="139" spans="1:9" x14ac:dyDescent="0.25">
      <c r="B139" s="83" t="s">
        <v>206</v>
      </c>
      <c r="C139" s="83" t="s">
        <v>205</v>
      </c>
      <c r="D139" s="83" t="s">
        <v>120</v>
      </c>
      <c r="E139" s="90">
        <v>3152</v>
      </c>
      <c r="F139" t="s">
        <v>119</v>
      </c>
      <c r="H139" t="s">
        <v>118</v>
      </c>
      <c r="I139" t="s">
        <v>117</v>
      </c>
    </row>
    <row r="140" spans="1:9" x14ac:dyDescent="0.25">
      <c r="B140" s="83" t="s">
        <v>204</v>
      </c>
      <c r="C140" s="83" t="s">
        <v>203</v>
      </c>
      <c r="D140" s="83" t="s">
        <v>120</v>
      </c>
      <c r="E140" s="90">
        <v>1585</v>
      </c>
      <c r="F140" t="s">
        <v>119</v>
      </c>
      <c r="H140" t="s">
        <v>118</v>
      </c>
      <c r="I140" t="s">
        <v>117</v>
      </c>
    </row>
    <row r="141" spans="1:9" x14ac:dyDescent="0.25">
      <c r="B141" s="83" t="s">
        <v>202</v>
      </c>
      <c r="C141" s="83" t="s">
        <v>201</v>
      </c>
      <c r="D141" s="83" t="s">
        <v>120</v>
      </c>
      <c r="E141" s="91">
        <v>3.7</v>
      </c>
      <c r="F141" t="s">
        <v>119</v>
      </c>
      <c r="H141" t="s">
        <v>118</v>
      </c>
      <c r="I141" t="s">
        <v>117</v>
      </c>
    </row>
    <row r="142" spans="1:9" x14ac:dyDescent="0.25">
      <c r="B142" s="83" t="s">
        <v>200</v>
      </c>
      <c r="C142" s="83" t="s">
        <v>199</v>
      </c>
      <c r="D142" s="83" t="s">
        <v>120</v>
      </c>
      <c r="E142" s="91">
        <v>0.4</v>
      </c>
      <c r="F142" t="s">
        <v>119</v>
      </c>
      <c r="H142" t="s">
        <v>118</v>
      </c>
      <c r="I142" t="s">
        <v>117</v>
      </c>
    </row>
    <row r="143" spans="1:9" x14ac:dyDescent="0.25">
      <c r="B143" s="83" t="s">
        <v>198</v>
      </c>
      <c r="C143" s="83" t="s">
        <v>197</v>
      </c>
      <c r="D143" s="83" t="s">
        <v>120</v>
      </c>
      <c r="E143" s="91">
        <v>0.8</v>
      </c>
      <c r="F143" t="s">
        <v>119</v>
      </c>
      <c r="H143" t="s">
        <v>118</v>
      </c>
      <c r="I143" t="s">
        <v>117</v>
      </c>
    </row>
    <row r="144" spans="1:9" x14ac:dyDescent="0.25">
      <c r="B144" s="83" t="s">
        <v>196</v>
      </c>
      <c r="C144" s="83" t="s">
        <v>195</v>
      </c>
      <c r="D144" s="83" t="s">
        <v>120</v>
      </c>
      <c r="E144" s="90">
        <v>14800</v>
      </c>
      <c r="F144" t="s">
        <v>119</v>
      </c>
      <c r="H144" t="s">
        <v>118</v>
      </c>
      <c r="I144" t="s">
        <v>117</v>
      </c>
    </row>
    <row r="145" spans="2:9" x14ac:dyDescent="0.25">
      <c r="B145" s="83" t="s">
        <v>194</v>
      </c>
      <c r="C145" s="83" t="s">
        <v>193</v>
      </c>
      <c r="D145" s="83" t="s">
        <v>120</v>
      </c>
      <c r="E145" s="90">
        <v>675</v>
      </c>
      <c r="F145" t="s">
        <v>119</v>
      </c>
      <c r="H145" t="s">
        <v>118</v>
      </c>
      <c r="I145" t="s">
        <v>117</v>
      </c>
    </row>
    <row r="146" spans="2:9" x14ac:dyDescent="0.25">
      <c r="B146" s="83" t="s">
        <v>192</v>
      </c>
      <c r="C146" s="83" t="s">
        <v>191</v>
      </c>
      <c r="D146" s="83" t="s">
        <v>120</v>
      </c>
      <c r="E146" s="90">
        <v>1430</v>
      </c>
      <c r="F146" t="s">
        <v>119</v>
      </c>
      <c r="H146" t="s">
        <v>118</v>
      </c>
      <c r="I146" t="s">
        <v>117</v>
      </c>
    </row>
    <row r="147" spans="2:9" x14ac:dyDescent="0.25">
      <c r="B147" s="83" t="s">
        <v>190</v>
      </c>
      <c r="C147" s="83" t="s">
        <v>189</v>
      </c>
      <c r="D147" s="83" t="s">
        <v>120</v>
      </c>
      <c r="E147" s="90">
        <v>4470</v>
      </c>
      <c r="F147" t="s">
        <v>119</v>
      </c>
      <c r="H147" t="s">
        <v>118</v>
      </c>
      <c r="I147" t="s">
        <v>117</v>
      </c>
    </row>
    <row r="148" spans="2:9" x14ac:dyDescent="0.25">
      <c r="B148" s="83" t="s">
        <v>188</v>
      </c>
      <c r="C148" s="83" t="s">
        <v>187</v>
      </c>
      <c r="D148" s="83" t="s">
        <v>120</v>
      </c>
      <c r="E148" s="90">
        <v>3992</v>
      </c>
      <c r="F148" t="s">
        <v>119</v>
      </c>
      <c r="H148" t="s">
        <v>118</v>
      </c>
      <c r="I148" t="s">
        <v>117</v>
      </c>
    </row>
    <row r="149" spans="2:9" x14ac:dyDescent="0.25">
      <c r="B149" s="83" t="s">
        <v>186</v>
      </c>
      <c r="C149" s="83" t="s">
        <v>185</v>
      </c>
      <c r="D149" s="83" t="s">
        <v>120</v>
      </c>
      <c r="E149" s="90">
        <v>1774</v>
      </c>
      <c r="F149" t="s">
        <v>119</v>
      </c>
      <c r="H149" t="s">
        <v>118</v>
      </c>
      <c r="I149" t="s">
        <v>117</v>
      </c>
    </row>
    <row r="150" spans="2:9" x14ac:dyDescent="0.25">
      <c r="B150" s="83" t="s">
        <v>184</v>
      </c>
      <c r="C150" s="83" t="s">
        <v>183</v>
      </c>
      <c r="D150" s="83" t="s">
        <v>120</v>
      </c>
      <c r="E150" s="90">
        <v>1825</v>
      </c>
      <c r="F150" t="s">
        <v>119</v>
      </c>
      <c r="H150" t="s">
        <v>118</v>
      </c>
      <c r="I150" t="s">
        <v>117</v>
      </c>
    </row>
    <row r="151" spans="2:9" x14ac:dyDescent="0.25">
      <c r="B151" s="83" t="s">
        <v>182</v>
      </c>
      <c r="C151" s="83" t="s">
        <v>181</v>
      </c>
      <c r="D151" s="83" t="s">
        <v>120</v>
      </c>
      <c r="E151" s="90">
        <v>2088</v>
      </c>
      <c r="F151" t="s">
        <v>119</v>
      </c>
      <c r="H151" t="s">
        <v>118</v>
      </c>
      <c r="I151" t="s">
        <v>117</v>
      </c>
    </row>
    <row r="152" spans="2:9" x14ac:dyDescent="0.25">
      <c r="B152" s="83" t="s">
        <v>180</v>
      </c>
      <c r="C152" s="83" t="s">
        <v>179</v>
      </c>
      <c r="D152" s="83" t="s">
        <v>120</v>
      </c>
      <c r="E152" s="90">
        <v>2053</v>
      </c>
      <c r="F152" t="s">
        <v>119</v>
      </c>
      <c r="H152" t="s">
        <v>118</v>
      </c>
      <c r="I152" t="s">
        <v>117</v>
      </c>
    </row>
    <row r="153" spans="2:9" x14ac:dyDescent="0.25">
      <c r="B153" s="83" t="s">
        <v>178</v>
      </c>
      <c r="C153" s="83" t="s">
        <v>177</v>
      </c>
      <c r="D153" s="83" t="s">
        <v>120</v>
      </c>
      <c r="E153" s="90">
        <v>2346</v>
      </c>
      <c r="F153" t="s">
        <v>119</v>
      </c>
      <c r="H153" t="s">
        <v>118</v>
      </c>
      <c r="I153" t="s">
        <v>117</v>
      </c>
    </row>
    <row r="154" spans="2:9" x14ac:dyDescent="0.25">
      <c r="B154" s="83" t="s">
        <v>176</v>
      </c>
      <c r="C154" s="83" t="s">
        <v>175</v>
      </c>
      <c r="D154" s="83" t="s">
        <v>120</v>
      </c>
      <c r="E154" s="90">
        <v>3143</v>
      </c>
      <c r="F154" t="s">
        <v>119</v>
      </c>
      <c r="H154" t="s">
        <v>118</v>
      </c>
      <c r="I154" t="s">
        <v>117</v>
      </c>
    </row>
    <row r="155" spans="2:9" x14ac:dyDescent="0.25">
      <c r="B155" s="83" t="s">
        <v>174</v>
      </c>
      <c r="C155" s="83" t="s">
        <v>173</v>
      </c>
      <c r="D155" s="83" t="s">
        <v>120</v>
      </c>
      <c r="E155" s="90">
        <v>2729</v>
      </c>
      <c r="F155" t="s">
        <v>119</v>
      </c>
      <c r="H155" t="s">
        <v>118</v>
      </c>
      <c r="I155" t="s">
        <v>117</v>
      </c>
    </row>
    <row r="156" spans="2:9" x14ac:dyDescent="0.25">
      <c r="B156" s="83" t="s">
        <v>172</v>
      </c>
      <c r="C156" s="83" t="s">
        <v>171</v>
      </c>
      <c r="D156" s="83" t="s">
        <v>120</v>
      </c>
      <c r="E156" s="90">
        <v>1805</v>
      </c>
      <c r="F156" t="s">
        <v>119</v>
      </c>
      <c r="H156" t="s">
        <v>118</v>
      </c>
      <c r="I156" t="s">
        <v>117</v>
      </c>
    </row>
    <row r="157" spans="2:9" x14ac:dyDescent="0.25">
      <c r="B157" s="83" t="s">
        <v>170</v>
      </c>
      <c r="C157" s="83" t="s">
        <v>169</v>
      </c>
      <c r="D157" s="83" t="s">
        <v>120</v>
      </c>
      <c r="E157" s="90">
        <v>3985</v>
      </c>
      <c r="F157" t="s">
        <v>119</v>
      </c>
      <c r="H157" t="s">
        <v>118</v>
      </c>
      <c r="I157" t="s">
        <v>117</v>
      </c>
    </row>
    <row r="158" spans="2:9" x14ac:dyDescent="0.25">
      <c r="B158" s="83" t="s">
        <v>168</v>
      </c>
      <c r="C158" s="83" t="s">
        <v>167</v>
      </c>
      <c r="D158" s="83" t="s">
        <v>120</v>
      </c>
      <c r="E158" s="90">
        <v>13214</v>
      </c>
      <c r="F158" t="s">
        <v>119</v>
      </c>
      <c r="H158" t="s">
        <v>118</v>
      </c>
      <c r="I158" t="s">
        <v>117</v>
      </c>
    </row>
    <row r="159" spans="2:9" x14ac:dyDescent="0.25">
      <c r="B159" s="83" t="s">
        <v>166</v>
      </c>
      <c r="C159" s="83" t="s">
        <v>165</v>
      </c>
      <c r="D159" s="83" t="s">
        <v>120</v>
      </c>
      <c r="E159" s="90">
        <v>13396</v>
      </c>
      <c r="F159" t="s">
        <v>119</v>
      </c>
      <c r="H159" t="s">
        <v>118</v>
      </c>
      <c r="I159" t="s">
        <v>117</v>
      </c>
    </row>
    <row r="160" spans="2:9" x14ac:dyDescent="0.25">
      <c r="B160" s="83" t="s">
        <v>164</v>
      </c>
      <c r="C160" s="83" t="s">
        <v>163</v>
      </c>
      <c r="D160" s="83" t="s">
        <v>120</v>
      </c>
      <c r="E160" s="90">
        <v>1386</v>
      </c>
      <c r="F160" t="s">
        <v>119</v>
      </c>
      <c r="H160" t="s">
        <v>118</v>
      </c>
      <c r="I160" t="s">
        <v>117</v>
      </c>
    </row>
    <row r="161" spans="2:9" x14ac:dyDescent="0.25">
      <c r="B161" s="83" t="s">
        <v>162</v>
      </c>
      <c r="C161" s="83" t="s">
        <v>161</v>
      </c>
      <c r="D161" s="83" t="s">
        <v>120</v>
      </c>
      <c r="E161" s="90">
        <v>1396</v>
      </c>
      <c r="F161" t="s">
        <v>119</v>
      </c>
      <c r="H161" t="s">
        <v>118</v>
      </c>
      <c r="I161" t="s">
        <v>117</v>
      </c>
    </row>
    <row r="162" spans="2:9" x14ac:dyDescent="0.25">
      <c r="B162" s="83" t="s">
        <v>160</v>
      </c>
      <c r="C162" s="83" t="s">
        <v>159</v>
      </c>
      <c r="D162" s="83" t="s">
        <v>120</v>
      </c>
      <c r="E162" s="90">
        <v>601</v>
      </c>
      <c r="F162" t="s">
        <v>119</v>
      </c>
      <c r="H162" t="s">
        <v>118</v>
      </c>
      <c r="I162" t="s">
        <v>117</v>
      </c>
    </row>
    <row r="163" spans="2:9" x14ac:dyDescent="0.25">
      <c r="B163" s="83" t="s">
        <v>158</v>
      </c>
      <c r="C163" s="83" t="s">
        <v>157</v>
      </c>
      <c r="D163" s="83" t="s">
        <v>120</v>
      </c>
      <c r="E163" s="90">
        <v>2140</v>
      </c>
      <c r="F163" t="s">
        <v>119</v>
      </c>
      <c r="H163" t="s">
        <v>118</v>
      </c>
      <c r="I163" t="s">
        <v>117</v>
      </c>
    </row>
    <row r="164" spans="2:9" x14ac:dyDescent="0.25">
      <c r="B164" s="83" t="s">
        <v>156</v>
      </c>
      <c r="C164" s="83" t="s">
        <v>155</v>
      </c>
      <c r="D164" s="83" t="s">
        <v>120</v>
      </c>
      <c r="E164" s="90">
        <v>146</v>
      </c>
      <c r="F164" t="s">
        <v>119</v>
      </c>
      <c r="H164" t="s">
        <v>118</v>
      </c>
      <c r="I164" t="s">
        <v>117</v>
      </c>
    </row>
    <row r="165" spans="2:9" x14ac:dyDescent="0.25">
      <c r="B165" s="83" t="s">
        <v>154</v>
      </c>
      <c r="C165" s="83" t="s">
        <v>153</v>
      </c>
      <c r="D165" s="83" t="s">
        <v>120</v>
      </c>
      <c r="E165" s="90">
        <v>146</v>
      </c>
      <c r="F165" t="s">
        <v>119</v>
      </c>
      <c r="H165" t="s">
        <v>118</v>
      </c>
      <c r="I165" t="s">
        <v>117</v>
      </c>
    </row>
    <row r="166" spans="2:9" x14ac:dyDescent="0.25">
      <c r="B166" s="83" t="s">
        <v>152</v>
      </c>
      <c r="C166" s="83" t="s">
        <v>151</v>
      </c>
      <c r="D166" s="83" t="s">
        <v>120</v>
      </c>
      <c r="E166" s="90">
        <v>630</v>
      </c>
      <c r="F166" t="s">
        <v>119</v>
      </c>
      <c r="H166" t="s">
        <v>118</v>
      </c>
      <c r="I166" t="s">
        <v>117</v>
      </c>
    </row>
    <row r="167" spans="2:9" x14ac:dyDescent="0.25">
      <c r="B167" s="83" t="s">
        <v>150</v>
      </c>
      <c r="C167" s="83" t="s">
        <v>149</v>
      </c>
      <c r="D167" s="83" t="s">
        <v>120</v>
      </c>
      <c r="E167" s="90">
        <v>6</v>
      </c>
      <c r="F167" t="s">
        <v>119</v>
      </c>
      <c r="H167" t="s">
        <v>118</v>
      </c>
      <c r="I167" t="s">
        <v>117</v>
      </c>
    </row>
    <row r="168" spans="2:9" x14ac:dyDescent="0.25">
      <c r="B168" s="83" t="s">
        <v>148</v>
      </c>
      <c r="C168" s="83" t="s">
        <v>147</v>
      </c>
      <c r="D168" s="83" t="s">
        <v>120</v>
      </c>
      <c r="E168" s="90">
        <v>3</v>
      </c>
      <c r="F168" t="s">
        <v>119</v>
      </c>
      <c r="H168" t="s">
        <v>118</v>
      </c>
      <c r="I168" t="s">
        <v>117</v>
      </c>
    </row>
    <row r="169" spans="2:9" x14ac:dyDescent="0.25">
      <c r="B169" s="83" t="s">
        <v>146</v>
      </c>
      <c r="C169" s="83" t="s">
        <v>145</v>
      </c>
      <c r="D169" s="83" t="s">
        <v>120</v>
      </c>
      <c r="E169" s="90">
        <v>0</v>
      </c>
      <c r="F169" t="s">
        <v>119</v>
      </c>
      <c r="H169" t="s">
        <v>118</v>
      </c>
      <c r="I169" t="s">
        <v>117</v>
      </c>
    </row>
    <row r="170" spans="2:9" x14ac:dyDescent="0.25">
      <c r="B170" s="83" t="s">
        <v>144</v>
      </c>
      <c r="C170" s="83" t="s">
        <v>143</v>
      </c>
      <c r="D170" s="83" t="s">
        <v>120</v>
      </c>
      <c r="E170" s="90">
        <v>0</v>
      </c>
      <c r="F170" t="s">
        <v>119</v>
      </c>
      <c r="H170" t="s">
        <v>118</v>
      </c>
      <c r="I170" t="s">
        <v>117</v>
      </c>
    </row>
    <row r="171" spans="2:9" x14ac:dyDescent="0.25">
      <c r="B171" s="83" t="s">
        <v>142</v>
      </c>
      <c r="C171" s="83" t="s">
        <v>141</v>
      </c>
      <c r="D171" s="83" t="s">
        <v>120</v>
      </c>
      <c r="E171" s="90">
        <v>1</v>
      </c>
      <c r="F171" t="s">
        <v>119</v>
      </c>
      <c r="H171" t="s">
        <v>118</v>
      </c>
      <c r="I171" t="s">
        <v>117</v>
      </c>
    </row>
    <row r="172" spans="2:9" x14ac:dyDescent="0.25">
      <c r="B172" s="83" t="s">
        <v>140</v>
      </c>
      <c r="C172" s="83" t="s">
        <v>139</v>
      </c>
      <c r="D172" s="83" t="s">
        <v>120</v>
      </c>
      <c r="E172" s="90">
        <v>4</v>
      </c>
      <c r="F172" t="s">
        <v>119</v>
      </c>
      <c r="H172" t="s">
        <v>118</v>
      </c>
      <c r="I172" t="s">
        <v>117</v>
      </c>
    </row>
    <row r="173" spans="2:9" x14ac:dyDescent="0.25">
      <c r="B173" s="83" t="s">
        <v>138</v>
      </c>
      <c r="C173" s="83" t="s">
        <v>137</v>
      </c>
      <c r="D173" s="83" t="s">
        <v>120</v>
      </c>
      <c r="E173" s="90">
        <v>3</v>
      </c>
      <c r="F173" t="s">
        <v>119</v>
      </c>
      <c r="H173" t="s">
        <v>118</v>
      </c>
      <c r="I173" t="s">
        <v>117</v>
      </c>
    </row>
    <row r="174" spans="2:9" x14ac:dyDescent="0.25">
      <c r="B174" s="83" t="s">
        <v>136</v>
      </c>
      <c r="C174" s="83" t="s">
        <v>135</v>
      </c>
      <c r="D174" s="83" t="s">
        <v>120</v>
      </c>
      <c r="E174" s="90">
        <v>2</v>
      </c>
      <c r="F174" t="s">
        <v>119</v>
      </c>
      <c r="H174" t="s">
        <v>118</v>
      </c>
      <c r="I174" t="s">
        <v>117</v>
      </c>
    </row>
    <row r="175" spans="2:9" x14ac:dyDescent="0.25">
      <c r="B175" s="83" t="s">
        <v>134</v>
      </c>
      <c r="C175" s="83" t="s">
        <v>133</v>
      </c>
      <c r="D175" s="83" t="s">
        <v>120</v>
      </c>
      <c r="E175" s="90">
        <v>3</v>
      </c>
      <c r="F175" t="s">
        <v>119</v>
      </c>
      <c r="H175" t="s">
        <v>118</v>
      </c>
      <c r="I175" t="s">
        <v>117</v>
      </c>
    </row>
    <row r="176" spans="2:9" x14ac:dyDescent="0.25">
      <c r="B176" s="83" t="s">
        <v>132</v>
      </c>
      <c r="C176" s="83" t="s">
        <v>131</v>
      </c>
      <c r="D176" s="83" t="s">
        <v>120</v>
      </c>
      <c r="E176" s="90">
        <v>3</v>
      </c>
      <c r="F176" t="s">
        <v>119</v>
      </c>
      <c r="H176" t="s">
        <v>118</v>
      </c>
      <c r="I176" t="s">
        <v>117</v>
      </c>
    </row>
    <row r="177" spans="2:9" x14ac:dyDescent="0.25">
      <c r="B177" s="83" t="s">
        <v>130</v>
      </c>
      <c r="C177" s="83" t="s">
        <v>129</v>
      </c>
      <c r="D177" s="83" t="s">
        <v>120</v>
      </c>
      <c r="E177" s="90">
        <v>8</v>
      </c>
      <c r="F177" t="s">
        <v>119</v>
      </c>
      <c r="H177" t="s">
        <v>118</v>
      </c>
      <c r="I177" t="s">
        <v>117</v>
      </c>
    </row>
    <row r="178" spans="2:9" x14ac:dyDescent="0.25">
      <c r="B178" s="83" t="s">
        <v>128</v>
      </c>
      <c r="C178" s="83" t="s">
        <v>127</v>
      </c>
      <c r="D178" s="83" t="s">
        <v>120</v>
      </c>
      <c r="E178" s="90">
        <v>1</v>
      </c>
      <c r="F178" t="s">
        <v>119</v>
      </c>
      <c r="H178" t="s">
        <v>118</v>
      </c>
      <c r="I178" t="s">
        <v>117</v>
      </c>
    </row>
    <row r="179" spans="2:9" x14ac:dyDescent="0.25">
      <c r="B179" s="83" t="s">
        <v>126</v>
      </c>
      <c r="C179" s="83" t="s">
        <v>125</v>
      </c>
      <c r="D179" s="83" t="s">
        <v>120</v>
      </c>
      <c r="E179" s="90">
        <v>1</v>
      </c>
      <c r="F179" t="s">
        <v>119</v>
      </c>
      <c r="H179" t="s">
        <v>118</v>
      </c>
      <c r="I179" t="s">
        <v>117</v>
      </c>
    </row>
    <row r="180" spans="2:9" x14ac:dyDescent="0.25">
      <c r="B180" s="83" t="s">
        <v>124</v>
      </c>
      <c r="C180" s="83" t="s">
        <v>123</v>
      </c>
      <c r="D180" s="83" t="s">
        <v>120</v>
      </c>
      <c r="E180" s="90">
        <v>2</v>
      </c>
      <c r="F180" t="s">
        <v>119</v>
      </c>
      <c r="H180" t="s">
        <v>118</v>
      </c>
      <c r="I180" t="s">
        <v>117</v>
      </c>
    </row>
    <row r="181" spans="2:9" x14ac:dyDescent="0.25">
      <c r="B181" s="83" t="s">
        <v>122</v>
      </c>
      <c r="C181" s="83" t="s">
        <v>121</v>
      </c>
      <c r="D181" s="83" t="s">
        <v>120</v>
      </c>
      <c r="E181" s="90">
        <v>26087</v>
      </c>
      <c r="F181" t="s">
        <v>119</v>
      </c>
      <c r="H181" t="s">
        <v>118</v>
      </c>
      <c r="I181" t="s">
        <v>117</v>
      </c>
    </row>
  </sheetData>
  <hyperlinks>
    <hyperlink ref="J40" r:id="rId1" xr:uid="{E05EE99C-A875-483E-BDB9-2F807AEDDD0F}"/>
    <hyperlink ref="J45" r:id="rId2" xr:uid="{760E0D1F-75E2-4F5B-8335-7451C3CBB148}"/>
    <hyperlink ref="J24" r:id="rId3" xr:uid="{34DD7A85-4DD7-451A-8BE3-59F02E89FF67}"/>
    <hyperlink ref="J25" r:id="rId4" xr:uid="{BEC6B9A8-DE64-4E53-A72A-6439A3CD6F62}"/>
    <hyperlink ref="J33" r:id="rId5" xr:uid="{755882D0-EF9C-48BF-851F-0B5AD74EDA78}"/>
    <hyperlink ref="J34" r:id="rId6" xr:uid="{6532B09D-DFDB-4F0B-BBA8-0F96164C9E2C}"/>
    <hyperlink ref="J35" r:id="rId7" xr:uid="{5004F2AA-61C1-4B9F-865C-A9AC99BFFA10}"/>
    <hyperlink ref="J29" r:id="rId8" xr:uid="{D72F6970-430B-4DBB-B20E-0046145059FA}"/>
    <hyperlink ref="J30" r:id="rId9" xr:uid="{3E0769AA-4B1F-42FB-A387-4C186195CB44}"/>
    <hyperlink ref="J31" r:id="rId10" xr:uid="{49577159-3362-401D-86FD-B370703BFCD0}"/>
    <hyperlink ref="J41" r:id="rId11" xr:uid="{EEDA94D3-FE06-41B0-BE90-D18C032B4FBF}"/>
    <hyperlink ref="J46" r:id="rId12" xr:uid="{B4DC74EB-7B6D-4E72-BD31-3BD7C270CBA6}"/>
    <hyperlink ref="J48" r:id="rId13" xr:uid="{FB7E7257-398F-49EA-9705-50EA335E19F1}"/>
    <hyperlink ref="I73" r:id="rId14" location="verkehrsmittelvergleich_personenverkehr_grafik" xr:uid="{C0A1A6D2-655B-4CC8-90CD-D75855336001}"/>
    <hyperlink ref="I78" r:id="rId15" location="Strommix" xr:uid="{C515D8A2-997C-4855-AC11-2E113B4E3F14}"/>
    <hyperlink ref="I66" r:id="rId16" xr:uid="{4CC65EAA-1748-4D93-A61B-A5E02DD49890}"/>
    <hyperlink ref="I67" r:id="rId17" xr:uid="{39DDBE22-A57D-4C24-A550-2E3F0C34B693}"/>
    <hyperlink ref="I7" r:id="rId18" xr:uid="{6805C07B-6361-42AA-B45A-224E3BE80E1D}"/>
    <hyperlink ref="I80" r:id="rId19" xr:uid="{C7350D2D-58DE-4475-9A22-20FB812F3649}"/>
    <hyperlink ref="I81" r:id="rId20" xr:uid="{FD284CA0-3860-4637-A9B0-1F92A177EA10}"/>
    <hyperlink ref="I120" r:id="rId21" xr:uid="{0BEE9F5C-B864-4F81-ABE0-CEFD645FFD2F}"/>
    <hyperlink ref="I85" r:id="rId22" xr:uid="{014F6DA5-7718-4704-9680-CBAF4C1EDF7D}"/>
    <hyperlink ref="I86" r:id="rId23" xr:uid="{7FD0AF71-7EEB-4756-BAE3-27340D89E3D3}"/>
    <hyperlink ref="I87" r:id="rId24" xr:uid="{E86EAC6F-DA08-4B65-9FDC-8B77E27B836F}"/>
    <hyperlink ref="I88" r:id="rId25" xr:uid="{39DB7946-B824-456F-A655-DBEA16D37710}"/>
    <hyperlink ref="I89" r:id="rId26" xr:uid="{8B3EF17D-5CBA-43AF-8022-856BB6EAAC87}"/>
    <hyperlink ref="I90" r:id="rId27" xr:uid="{3D7D8B12-E915-45D2-9CEE-E270ADCEAB50}"/>
    <hyperlink ref="I106" r:id="rId28" location="Strommix" xr:uid="{DBB6C0D0-ECDB-487C-B96D-CF7A73C65589}"/>
    <hyperlink ref="J68" r:id="rId29" xr:uid="{913C89AA-5F01-4918-8910-E0B3E0E89263}"/>
    <hyperlink ref="J49" r:id="rId30" xr:uid="{E247984E-835A-416F-BE0D-0B3ED1C516D1}"/>
    <hyperlink ref="J26" r:id="rId31" xr:uid="{8BE9D655-1E0F-4FD7-A0A1-909E5C561878}"/>
    <hyperlink ref="J76" r:id="rId32" xr:uid="{8993AFBD-6B65-44D4-84CA-EBE5683B9B92}"/>
    <hyperlink ref="I84" r:id="rId33" xr:uid="{1BE7C88F-44FA-422A-AFFE-36D55448998A}"/>
    <hyperlink ref="J9" r:id="rId34" xr:uid="{4A970080-FB38-45DB-AF7B-2B67A2F22E48}"/>
    <hyperlink ref="I8" r:id="rId35" xr:uid="{803EF2D3-0F94-463E-A451-8F63D850130C}"/>
    <hyperlink ref="I96" r:id="rId36" xr:uid="{415F6664-D35D-434E-8559-00D449DE9686}"/>
    <hyperlink ref="I97" r:id="rId37" xr:uid="{89187AF5-8E31-41F4-95EB-442124297013}"/>
    <hyperlink ref="I98" r:id="rId38" xr:uid="{0B7B7440-FDCF-4567-8F1F-2123CD92CA67}"/>
    <hyperlink ref="I93" r:id="rId39" xr:uid="{EF5C7E84-7BAF-4ACD-BF6E-04F0F3E5A6DC}"/>
    <hyperlink ref="I94" r:id="rId40" xr:uid="{BC0A517B-7D60-490B-B6C9-D041ED5CE3D9}"/>
    <hyperlink ref="I95" r:id="rId41" xr:uid="{8351263C-9946-4B54-B625-7D0F8A082327}"/>
    <hyperlink ref="I101" r:id="rId42" xr:uid="{9BBB737F-34E1-465E-9ADB-E0B52B9570BB}"/>
    <hyperlink ref="J6" r:id="rId43" xr:uid="{0D49F40B-2A39-4119-B501-80D229254D1E}"/>
    <hyperlink ref="J10" r:id="rId44" xr:uid="{D6155A00-989A-430F-8D28-560916BC66FB}"/>
    <hyperlink ref="J16" r:id="rId45" xr:uid="{A2534FAA-2C15-4F25-8E46-6275EC69E6D2}"/>
    <hyperlink ref="J17" r:id="rId46" xr:uid="{54196652-D7A4-4EB2-8D60-DA804877BE65}"/>
    <hyperlink ref="J18" r:id="rId47" xr:uid="{2A756212-0951-4EA8-994A-57A7002160B4}"/>
    <hyperlink ref="J19" r:id="rId48" xr:uid="{F477A809-5B2D-4A4D-8322-0DE057746E9E}"/>
    <hyperlink ref="J20" r:id="rId49" xr:uid="{B5F4BE32-44FC-4B68-9928-85EC3F1775B6}"/>
    <hyperlink ref="J21" r:id="rId50" xr:uid="{B8298563-C9C4-430D-8945-AC2B02473CBE}"/>
    <hyperlink ref="J22" r:id="rId51" xr:uid="{9785A2EF-D9EB-422A-87AC-42A93B0FB655}"/>
    <hyperlink ref="J23" r:id="rId52" xr:uid="{28776776-B00E-48DD-AFFC-B226C4FD345B}"/>
    <hyperlink ref="I55" r:id="rId53" location="verkehrsmittelvergleich_personenverkehr_grafik" xr:uid="{67B5929F-6C43-424E-A0D7-D49C3447DCAC}"/>
    <hyperlink ref="J125" r:id="rId54" xr:uid="{17E76DBA-ADF3-4B56-9829-62BAE88C7229}"/>
    <hyperlink ref="J126" r:id="rId55" xr:uid="{4F5ED35D-FA17-4FFE-BE50-BBBB138B48DB}"/>
    <hyperlink ref="J127" r:id="rId56" xr:uid="{54B0173C-67E7-4880-AA72-B48CDE583ED8}"/>
    <hyperlink ref="J79" r:id="rId57" display="https://www.umweltbundesamt.de/publikationen/emissionsbilanz-erneuerbarer-energietraeger-2020" xr:uid="{EDA4602B-0FB7-492D-BA76-552C4FD451CF}"/>
    <hyperlink ref="N110" r:id="rId58" xr:uid="{277245AC-37ED-4575-B100-697B267C8155}"/>
    <hyperlink ref="N111" r:id="rId59" xr:uid="{BD2FB670-F59F-4798-9AF0-B63B64F2FA1A}"/>
    <hyperlink ref="N112" r:id="rId60" xr:uid="{83CBBC23-F32B-4490-BEF5-641BC71E6C2F}"/>
    <hyperlink ref="N113" r:id="rId61" xr:uid="{0D50DAF7-2D00-414C-8A49-BF4C930B0749}"/>
  </hyperlinks>
  <pageMargins left="0.7" right="0.7" top="0.78740157499999996" bottom="0.78740157499999996" header="0.3" footer="0.3"/>
  <pageSetup paperSize="9" orientation="portrait" r:id="rId6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dimension ref="A1:A2"/>
  <sheetViews>
    <sheetView workbookViewId="0">
      <selection sqref="A1:A2"/>
    </sheetView>
  </sheetViews>
  <sheetFormatPr baseColWidth="10" defaultRowHeight="15" x14ac:dyDescent="0.25"/>
  <sheetData>
    <row r="1" spans="1:1" x14ac:dyDescent="0.25">
      <c r="A1" s="1" t="s">
        <v>11</v>
      </c>
    </row>
    <row r="2" spans="1:1" x14ac:dyDescent="0.25">
      <c r="A2" s="1" t="s">
        <v>12</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A10"/>
  <sheetViews>
    <sheetView workbookViewId="0">
      <selection activeCell="A8" sqref="A8"/>
    </sheetView>
  </sheetViews>
  <sheetFormatPr baseColWidth="10" defaultRowHeight="15" x14ac:dyDescent="0.25"/>
  <cols>
    <col min="1" max="1" width="29.28515625" bestFit="1" customWidth="1"/>
  </cols>
  <sheetData>
    <row r="1" spans="1:1" x14ac:dyDescent="0.25">
      <c r="A1" t="s">
        <v>5</v>
      </c>
    </row>
    <row r="3" spans="1:1" x14ac:dyDescent="0.25">
      <c r="A3" s="2" t="s">
        <v>14</v>
      </c>
    </row>
    <row r="4" spans="1:1" x14ac:dyDescent="0.25">
      <c r="A4" s="2" t="s">
        <v>15</v>
      </c>
    </row>
    <row r="5" spans="1:1" x14ac:dyDescent="0.25">
      <c r="A5" s="3" t="s">
        <v>16</v>
      </c>
    </row>
    <row r="6" spans="1:1" x14ac:dyDescent="0.25">
      <c r="A6" s="3" t="s">
        <v>17</v>
      </c>
    </row>
    <row r="7" spans="1:1" x14ac:dyDescent="0.25">
      <c r="A7" s="3" t="s">
        <v>18</v>
      </c>
    </row>
    <row r="8" spans="1:1" x14ac:dyDescent="0.25">
      <c r="A8" s="4" t="s">
        <v>19</v>
      </c>
    </row>
    <row r="9" spans="1:1" x14ac:dyDescent="0.25">
      <c r="A9" s="5" t="s">
        <v>20</v>
      </c>
    </row>
    <row r="10" spans="1:1" x14ac:dyDescent="0.25">
      <c r="A10" s="5" t="s">
        <v>13</v>
      </c>
    </row>
  </sheetData>
  <conditionalFormatting sqref="A3">
    <cfRule type="containsText" dxfId="40" priority="2" operator="containsText" text="umgesetzt">
      <formula>NOT(ISERROR(SEARCH("umgesetzt",A3)))</formula>
    </cfRule>
  </conditionalFormatting>
  <conditionalFormatting sqref="A4">
    <cfRule type="containsText" dxfId="39" priority="1" operator="containsText" text="wird laufend umgesetzt">
      <formula>NOT(ISERROR(SEARCH("wird laufend umgesetzt",A4)))</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21C20"/>
  </sheetPr>
  <dimension ref="A1:P71"/>
  <sheetViews>
    <sheetView showGridLines="0" tabSelected="1" zoomScale="80" zoomScaleNormal="80" workbookViewId="0">
      <selection activeCell="B8" sqref="B8"/>
    </sheetView>
  </sheetViews>
  <sheetFormatPr baseColWidth="10" defaultRowHeight="15" x14ac:dyDescent="0.25"/>
  <cols>
    <col min="1" max="1" width="5.5703125" style="285" customWidth="1"/>
    <col min="2" max="2" width="19.42578125" style="285" customWidth="1"/>
    <col min="3" max="3" width="26" style="285" customWidth="1"/>
    <col min="4" max="4" width="9.85546875" style="285" customWidth="1"/>
    <col min="5" max="5" width="10.140625" style="285" customWidth="1"/>
    <col min="6" max="6" width="12.28515625" style="285" customWidth="1"/>
    <col min="7" max="7" width="12.85546875" style="285" customWidth="1"/>
    <col min="8" max="8" width="13.7109375" style="285" customWidth="1"/>
    <col min="9" max="11" width="10.7109375" style="285" customWidth="1"/>
    <col min="12" max="12" width="11.42578125" style="285"/>
    <col min="13" max="13" width="33.28515625" style="285" customWidth="1"/>
    <col min="14" max="14" width="35.5703125" style="285" customWidth="1"/>
    <col min="15" max="15" width="25.5703125" style="285" customWidth="1"/>
    <col min="16" max="16" width="26" style="285" bestFit="1" customWidth="1"/>
    <col min="17" max="16384" width="11.42578125" style="285"/>
  </cols>
  <sheetData>
    <row r="1" spans="1:16" ht="15" customHeight="1" x14ac:dyDescent="0.25"/>
    <row r="2" spans="1:16" ht="15" customHeight="1" x14ac:dyDescent="0.25"/>
    <row r="3" spans="1:16" ht="15" customHeight="1" x14ac:dyDescent="0.35">
      <c r="M3" s="290"/>
    </row>
    <row r="4" spans="1:16" ht="15" customHeight="1" x14ac:dyDescent="0.25"/>
    <row r="5" spans="1:16" s="292" customFormat="1" ht="110.25" customHeight="1" x14ac:dyDescent="0.25">
      <c r="A5" s="291" t="s">
        <v>83</v>
      </c>
      <c r="B5" s="291"/>
      <c r="C5" s="291"/>
      <c r="D5" s="291"/>
      <c r="E5" s="291"/>
      <c r="F5" s="291"/>
      <c r="G5" s="291"/>
      <c r="H5" s="291"/>
      <c r="I5" s="291"/>
      <c r="J5" s="291"/>
      <c r="K5" s="291"/>
    </row>
    <row r="6" spans="1:16" ht="30" customHeight="1" x14ac:dyDescent="0.25">
      <c r="A6" s="273" t="s">
        <v>4</v>
      </c>
      <c r="B6" s="273" t="s">
        <v>3</v>
      </c>
      <c r="C6" s="273" t="s">
        <v>9</v>
      </c>
      <c r="D6" s="273" t="s">
        <v>6</v>
      </c>
      <c r="E6" s="273" t="s">
        <v>88</v>
      </c>
      <c r="F6" s="273" t="s">
        <v>5</v>
      </c>
      <c r="G6" s="273" t="s">
        <v>78</v>
      </c>
      <c r="H6" s="273" t="s">
        <v>8</v>
      </c>
      <c r="I6" s="274" t="s">
        <v>91</v>
      </c>
      <c r="J6" s="275"/>
      <c r="K6" s="276"/>
      <c r="M6" s="293" t="s">
        <v>3</v>
      </c>
      <c r="N6" s="294" t="s">
        <v>549</v>
      </c>
      <c r="O6" s="293" t="s">
        <v>95</v>
      </c>
      <c r="P6" s="293" t="s">
        <v>91</v>
      </c>
    </row>
    <row r="7" spans="1:16" ht="30" customHeight="1" x14ac:dyDescent="0.25">
      <c r="A7" s="277"/>
      <c r="B7" s="277"/>
      <c r="C7" s="277"/>
      <c r="D7" s="277"/>
      <c r="E7" s="277"/>
      <c r="F7" s="277"/>
      <c r="G7" s="277"/>
      <c r="H7" s="277"/>
      <c r="I7" s="278" t="str">
        <f>"bis"&amp; CHAR(10)
&amp;Überblick!E20</f>
        <v>bis
2025</v>
      </c>
      <c r="J7" s="278" t="str">
        <f>"bis"&amp; CHAR(10)
&amp;Überblick!F20</f>
        <v>bis
2028</v>
      </c>
      <c r="K7" s="278" t="str">
        <f>"bis"&amp; CHAR(10)
&amp;Überblick!G20</f>
        <v>bis
2032</v>
      </c>
      <c r="M7" s="293"/>
      <c r="N7" s="294"/>
      <c r="O7" s="293"/>
      <c r="P7" s="293"/>
    </row>
    <row r="8" spans="1:16" ht="50.1" customHeight="1" x14ac:dyDescent="0.25">
      <c r="A8" s="288" t="s">
        <v>61</v>
      </c>
      <c r="B8" s="55"/>
      <c r="C8" s="56"/>
      <c r="D8" s="56"/>
      <c r="E8" s="57"/>
      <c r="F8" s="56" t="s">
        <v>14</v>
      </c>
      <c r="G8" s="56"/>
      <c r="H8" s="56"/>
      <c r="I8" s="58"/>
      <c r="J8" s="58"/>
      <c r="K8" s="58"/>
      <c r="M8" s="161" t="s">
        <v>92</v>
      </c>
      <c r="N8" s="162">
        <v>120</v>
      </c>
      <c r="O8" s="136">
        <v>0.1</v>
      </c>
      <c r="P8" s="287">
        <f>IF(M8="Restmüll reduzieren (Einheit m³)",N8*O8*Faktoren!$E$4,0)+IF(M8="Restmüll reduzieren (Einheit t)",N8*O8*Faktoren!$E$5,0)+IF(M8="Papiermüll reduzieren (Einheit m³)",N8*O8*Faktoren!$E$6,0)+IF(M8="Papiermüll reduzieren (Einheit t)",N8*O8*Faktoren!$E$7,0)</f>
        <v>25.552799999999998</v>
      </c>
    </row>
    <row r="9" spans="1:16" ht="50.1" customHeight="1" x14ac:dyDescent="0.25">
      <c r="A9" s="288" t="s">
        <v>62</v>
      </c>
      <c r="B9" s="59"/>
      <c r="C9" s="60"/>
      <c r="D9" s="60"/>
      <c r="E9" s="60"/>
      <c r="F9" s="56" t="s">
        <v>16</v>
      </c>
      <c r="G9" s="60"/>
      <c r="H9" s="60"/>
      <c r="I9" s="58"/>
      <c r="J9" s="58"/>
      <c r="K9" s="58"/>
      <c r="M9" s="161"/>
      <c r="N9" s="163"/>
      <c r="O9" s="136"/>
      <c r="P9" s="287">
        <f>IF(M9="Restmüll reduzieren (Einheit m³)",N9*O9*Faktoren!$E$4,0)+IF(M9="Restmüll reduzieren (Einheit t)",N9*O9*Faktoren!$E$5,0)+IF(M9="Papiermüll reduzieren (Einheit m³)",N9*O9*Faktoren!$E$6,0)+IF(M9="Papiermüll reduzieren (Einheit t)",N9*O9*Faktoren!$E$7,0)</f>
        <v>0</v>
      </c>
    </row>
    <row r="10" spans="1:16" ht="50.1" customHeight="1" x14ac:dyDescent="0.25">
      <c r="A10" s="288" t="s">
        <v>63</v>
      </c>
      <c r="B10" s="59"/>
      <c r="C10" s="60"/>
      <c r="D10" s="60"/>
      <c r="E10" s="60"/>
      <c r="F10" s="56"/>
      <c r="G10" s="60"/>
      <c r="H10" s="60"/>
      <c r="I10" s="58"/>
      <c r="J10" s="58"/>
      <c r="K10" s="58"/>
      <c r="M10" s="161"/>
      <c r="N10" s="163"/>
      <c r="O10" s="136"/>
      <c r="P10" s="287">
        <f>IF(M10="Restmüll reduzieren (Einheit m³)",N10*O10*Faktoren!$E$4,0)+IF(M10="Restmüll reduzieren (Einheit t)",N10*O10*Faktoren!$E$5,0)+IF(M10="Papiermüll reduzieren (Einheit m³)",N10*O10*Faktoren!$E$6,0)+IF(M10="Papiermüll reduzieren (Einheit t)",N10*O10*Faktoren!$E$7,0)</f>
        <v>0</v>
      </c>
    </row>
    <row r="11" spans="1:16" ht="50.1" customHeight="1" x14ac:dyDescent="0.25">
      <c r="A11" s="288" t="s">
        <v>64</v>
      </c>
      <c r="B11" s="59"/>
      <c r="C11" s="60"/>
      <c r="D11" s="60"/>
      <c r="E11" s="60"/>
      <c r="F11" s="56"/>
      <c r="G11" s="60"/>
      <c r="H11" s="60"/>
      <c r="I11" s="58"/>
      <c r="J11" s="58"/>
      <c r="K11" s="58"/>
      <c r="M11" s="161"/>
      <c r="N11" s="163"/>
      <c r="O11" s="136"/>
      <c r="P11" s="287">
        <f>IF(M11="Restmüll reduzieren (Einheit m³)",N11*O11*Faktoren!$E$4,0)+IF(M11="Restmüll reduzieren (Einheit t)",N11*O11*Faktoren!$E$5,0)+IF(M11="Papiermüll reduzieren (Einheit m³)",N11*O11*Faktoren!$E$6,0)+IF(M11="Papiermüll reduzieren (Einheit t)",N11*O11*Faktoren!$E$7,0)</f>
        <v>0</v>
      </c>
    </row>
    <row r="12" spans="1:16" ht="50.1" customHeight="1" x14ac:dyDescent="0.25">
      <c r="A12" s="289" t="s">
        <v>65</v>
      </c>
      <c r="B12" s="61"/>
      <c r="C12" s="60"/>
      <c r="D12" s="60"/>
      <c r="E12" s="60"/>
      <c r="F12" s="56"/>
      <c r="G12" s="60"/>
      <c r="H12" s="60"/>
      <c r="I12" s="58"/>
      <c r="J12" s="58"/>
      <c r="K12" s="58"/>
      <c r="M12" s="161"/>
      <c r="N12" s="163"/>
      <c r="O12" s="136"/>
      <c r="P12" s="287">
        <f>IF(M12="Restmüll reduzieren (Einheit m³)",N12*O12*Faktoren!$E$4,0)+IF(M12="Restmüll reduzieren (Einheit t)",N12*O12*Faktoren!$E$5,0)+IF(M12="Papiermüll reduzieren (Einheit m³)",N12*O12*Faktoren!$E$6,0)+IF(M12="Papiermüll reduzieren (Einheit t)",N12*O12*Faktoren!$E$7,0)</f>
        <v>0</v>
      </c>
    </row>
    <row r="13" spans="1:16" ht="24" customHeight="1" x14ac:dyDescent="0.25">
      <c r="A13" s="279"/>
      <c r="B13" s="280"/>
      <c r="C13" s="281"/>
      <c r="D13" s="281"/>
      <c r="E13" s="282"/>
      <c r="F13" s="281"/>
      <c r="G13" s="281"/>
      <c r="H13" s="283" t="s">
        <v>7</v>
      </c>
      <c r="I13" s="284">
        <f>SUM(I8:I12)</f>
        <v>0</v>
      </c>
      <c r="J13" s="284">
        <f>SUM(J8:J12)</f>
        <v>0</v>
      </c>
      <c r="K13" s="284">
        <f>SUM(K8:K12)</f>
        <v>0</v>
      </c>
    </row>
    <row r="55" spans="2:2" x14ac:dyDescent="0.25">
      <c r="B55" s="286"/>
    </row>
    <row r="56" spans="2:2" x14ac:dyDescent="0.25">
      <c r="B56" s="286"/>
    </row>
    <row r="57" spans="2:2" x14ac:dyDescent="0.25">
      <c r="B57" s="286"/>
    </row>
    <row r="58" spans="2:2" x14ac:dyDescent="0.25">
      <c r="B58" s="286"/>
    </row>
    <row r="59" spans="2:2" x14ac:dyDescent="0.25">
      <c r="B59" s="286"/>
    </row>
    <row r="60" spans="2:2" x14ac:dyDescent="0.25">
      <c r="B60" s="286"/>
    </row>
    <row r="61" spans="2:2" x14ac:dyDescent="0.25">
      <c r="B61" s="286"/>
    </row>
    <row r="62" spans="2:2" x14ac:dyDescent="0.25">
      <c r="B62" s="286"/>
    </row>
    <row r="63" spans="2:2" x14ac:dyDescent="0.25">
      <c r="B63" s="286"/>
    </row>
    <row r="64" spans="2:2" x14ac:dyDescent="0.25">
      <c r="B64" s="286"/>
    </row>
    <row r="65" spans="2:2" x14ac:dyDescent="0.25">
      <c r="B65" s="286"/>
    </row>
    <row r="66" spans="2:2" x14ac:dyDescent="0.25">
      <c r="B66" s="286"/>
    </row>
    <row r="67" spans="2:2" x14ac:dyDescent="0.25">
      <c r="B67" s="286"/>
    </row>
    <row r="68" spans="2:2" x14ac:dyDescent="0.25">
      <c r="B68" s="286"/>
    </row>
    <row r="69" spans="2:2" x14ac:dyDescent="0.25">
      <c r="B69" s="286"/>
    </row>
    <row r="70" spans="2:2" x14ac:dyDescent="0.25">
      <c r="B70" s="286"/>
    </row>
    <row r="71" spans="2:2" x14ac:dyDescent="0.25">
      <c r="B71" s="286"/>
    </row>
  </sheetData>
  <sheetProtection sheet="1" objects="1" scenarios="1" selectLockedCells="1"/>
  <sortState xmlns:xlrd2="http://schemas.microsoft.com/office/spreadsheetml/2017/richdata2" ref="B55:B71">
    <sortCondition ref="B55:B71"/>
  </sortState>
  <mergeCells count="15">
    <mergeCell ref="A13:B13"/>
    <mergeCell ref="A6:A7"/>
    <mergeCell ref="B6:B7"/>
    <mergeCell ref="C6:C7"/>
    <mergeCell ref="D6:D7"/>
    <mergeCell ref="M6:M7"/>
    <mergeCell ref="N6:N7"/>
    <mergeCell ref="O6:O7"/>
    <mergeCell ref="P6:P7"/>
    <mergeCell ref="A5:K5"/>
    <mergeCell ref="G6:G7"/>
    <mergeCell ref="H6:H7"/>
    <mergeCell ref="I6:K6"/>
    <mergeCell ref="E6:E7"/>
    <mergeCell ref="F6:F7"/>
  </mergeCells>
  <conditionalFormatting sqref="F8:F12">
    <cfRule type="containsText" dxfId="92" priority="7" operator="containsText" text="Umsetzung nicht möglich">
      <formula>NOT(ISERROR(SEARCH("Umsetzung nicht möglich",F8)))</formula>
    </cfRule>
    <cfRule type="containsText" dxfId="91" priority="8" operator="containsText" text="bisher nicht umgesetzt">
      <formula>NOT(ISERROR(SEARCH("bisher nicht umgesetzt",F8)))</formula>
    </cfRule>
    <cfRule type="containsText" dxfId="90" priority="9" operator="containsText" text="zukünftiger Termin">
      <formula>NOT(ISERROR(SEARCH("zukünftiger Termin",F8)))</formula>
    </cfRule>
    <cfRule type="containsText" dxfId="89" priority="10" operator="containsText" text="In Umsetzung (Ende)">
      <formula>NOT(ISERROR(SEARCH("In Umsetzung (Ende)",F8)))</formula>
    </cfRule>
    <cfRule type="containsText" dxfId="88" priority="11" operator="containsText" text="In Umsetzung (Mitte)">
      <formula>NOT(ISERROR(SEARCH("In Umsetzung (Mitte)",F8)))</formula>
    </cfRule>
    <cfRule type="containsText" dxfId="87" priority="12" operator="containsText" text="In Umsetzung (Anfang)">
      <formula>NOT(ISERROR(SEARCH("In Umsetzung (Anfang)",F8)))</formula>
    </cfRule>
    <cfRule type="containsText" dxfId="86" priority="13" operator="containsText" text="umgesetzt">
      <formula>NOT(ISERROR(SEARCH("umgesetzt",F8)))</formula>
    </cfRule>
  </conditionalFormatting>
  <conditionalFormatting sqref="F10">
    <cfRule type="containsText" dxfId="85" priority="14" operator="containsText" text="Umsetzung nicht möglich">
      <formula>NOT(ISERROR(SEARCH("Umsetzung nicht möglich",F10)))</formula>
    </cfRule>
  </conditionalFormatting>
  <conditionalFormatting sqref="N8:N12">
    <cfRule type="expression" dxfId="84" priority="1">
      <formula>M8="Papiermüll reduzieren (Einheit t)"</formula>
    </cfRule>
    <cfRule type="expression" dxfId="83" priority="2">
      <formula>M8="Papiermüll reduzieren (Einheit m³)"</formula>
    </cfRule>
    <cfRule type="expression" dxfId="82" priority="3">
      <formula>M8="Restmüll reduzieren (Einheit t)"</formula>
    </cfRule>
    <cfRule type="expression" dxfId="81" priority="4">
      <formula>M8="Restmüll reduzieren (Einheit m³)"</formula>
    </cfRule>
  </conditionalFormatting>
  <dataValidations disablePrompts="1" count="1">
    <dataValidation type="list" allowBlank="1" showInputMessage="1" showErrorMessage="1" sqref="O8:O12" xr:uid="{97420A1D-9FEC-4073-8A66-E05699109F72}">
      <formula1>"10 %, 20 %, 30%, 40 %, 50 %, 60%, 70 %, 80 %, 90 %, 100 %"</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0000000}">
          <x14:formula1>
            <xm:f>Schlüsselprojekt!$A$1:$A$3</xm:f>
          </x14:formula1>
          <xm:sqref>D8:D12</xm:sqref>
        </x14:dataValidation>
        <x14:dataValidation type="list" allowBlank="1" showInputMessage="1" showErrorMessage="1" xr:uid="{00000000-0002-0000-0100-000001000000}">
          <x14:formula1>
            <xm:f>Status!$A$2:$A$10</xm:f>
          </x14:formula1>
          <xm:sqref>F8:F12</xm:sqref>
        </x14:dataValidation>
        <x14:dataValidation type="list" allowBlank="1" showInputMessage="1" showErrorMessage="1" xr:uid="{9977A4C1-D7BA-4972-8B23-E6448AB46AEB}">
          <x14:formula1>
            <xm:f>Faktoren!$C$4:$C$7</xm:f>
          </x14:formula1>
          <xm:sqref>M8:M12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tabColor rgb="FF174D9F"/>
  </sheetPr>
  <dimension ref="A1:P57"/>
  <sheetViews>
    <sheetView showGridLines="0" zoomScale="80" zoomScaleNormal="80" zoomScaleSheetLayoutView="100" workbookViewId="0">
      <selection activeCell="A6" sqref="A6:A7"/>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 min="13" max="13" width="70.7109375" customWidth="1"/>
    <col min="14" max="14" width="34.7109375" customWidth="1"/>
    <col min="15" max="15" width="30.140625" customWidth="1"/>
    <col min="16" max="16" width="28" customWidth="1"/>
  </cols>
  <sheetData>
    <row r="1" spans="1:16" ht="15" customHeight="1" x14ac:dyDescent="0.25"/>
    <row r="2" spans="1:16" ht="15" customHeight="1" x14ac:dyDescent="0.25"/>
    <row r="3" spans="1:16" ht="15" customHeight="1" x14ac:dyDescent="0.35">
      <c r="M3" s="126"/>
    </row>
    <row r="4" spans="1:16" ht="15" customHeight="1" x14ac:dyDescent="0.25"/>
    <row r="5" spans="1:16" ht="15" customHeight="1" x14ac:dyDescent="0.25"/>
    <row r="6" spans="1:16" ht="30" customHeight="1" x14ac:dyDescent="0.25">
      <c r="A6" s="215" t="s">
        <v>4</v>
      </c>
      <c r="B6" s="215" t="s">
        <v>3</v>
      </c>
      <c r="C6" s="215" t="s">
        <v>9</v>
      </c>
      <c r="D6" s="215" t="s">
        <v>6</v>
      </c>
      <c r="E6" s="215" t="s">
        <v>88</v>
      </c>
      <c r="F6" s="215" t="s">
        <v>5</v>
      </c>
      <c r="G6" s="215" t="s">
        <v>10</v>
      </c>
      <c r="H6" s="215" t="s">
        <v>8</v>
      </c>
      <c r="I6" s="216" t="s">
        <v>91</v>
      </c>
      <c r="J6" s="217"/>
      <c r="K6" s="218"/>
      <c r="M6" s="212" t="s">
        <v>667</v>
      </c>
      <c r="N6" s="213" t="s">
        <v>548</v>
      </c>
      <c r="O6" s="213" t="s">
        <v>680</v>
      </c>
      <c r="P6" s="214" t="s">
        <v>91</v>
      </c>
    </row>
    <row r="7" spans="1:16" ht="30" customHeight="1" x14ac:dyDescent="0.25">
      <c r="A7" s="215"/>
      <c r="B7" s="215"/>
      <c r="C7" s="215"/>
      <c r="D7" s="215"/>
      <c r="E7" s="215"/>
      <c r="F7" s="215"/>
      <c r="G7" s="215"/>
      <c r="H7" s="215"/>
      <c r="I7" s="30" t="str">
        <f>"bis"&amp;CHAR(10)
&amp;Überblick!E20</f>
        <v>bis
2025</v>
      </c>
      <c r="J7" s="30" t="str">
        <f>"bis"&amp;CHAR(10)
&amp;Überblick!F20</f>
        <v>bis
2028</v>
      </c>
      <c r="K7" s="30" t="str">
        <f>"bis"&amp;CHAR(10)
&amp;Überblick!G20</f>
        <v>bis
2032</v>
      </c>
      <c r="M7" s="212"/>
      <c r="N7" s="213"/>
      <c r="O7" s="214"/>
      <c r="P7" s="214"/>
    </row>
    <row r="8" spans="1:16" ht="50.1" customHeight="1" x14ac:dyDescent="0.25">
      <c r="A8" s="30" t="s">
        <v>21</v>
      </c>
      <c r="B8" s="55"/>
      <c r="C8" s="56"/>
      <c r="D8" s="56"/>
      <c r="E8" s="56"/>
      <c r="F8" s="56"/>
      <c r="G8" s="56"/>
      <c r="H8" s="56"/>
      <c r="I8" s="58"/>
      <c r="J8" s="58"/>
      <c r="K8" s="58"/>
      <c r="M8" s="164" t="s">
        <v>534</v>
      </c>
      <c r="N8" s="165"/>
      <c r="O8" s="166">
        <v>0.5</v>
      </c>
      <c r="P8" s="142">
        <f>IF(M8="Kopierpapier: Frischfaserpapier durch Recyclingpapier ersetzen",Einkauf!N8*Einkauf!O8*Faktoren!$E$9,0)+IF(M8="Kopierpapier: Papierverbrauch reduzieren (Frischfaser)",Einkauf!N8*Einkauf!O8*Faktoren!$E$10,0)+IF(M8="Toilettenpapier: Frischfaser- durch Recyclingpapier ersetzen (Normalrolle)",Einkauf!N8*Einkauf!O8*Faktoren!$E$11,0)+IF(M8="Toilettenpapier: Frischfaser- durch Recyclingpapier ersetzen (Jumborolle)",Einkauf!N8*Einkauf!O8*Faktoren!$E$12,0)+IF(M8="Toilettenpapier: Verbrauch reduzieren (Jumborolle, Frischfaser)",Einkauf!N8*Einkauf!O8*Faktoren!$E$13,0)+IF(M8="Toilettenpapier: Verbrauch reduzieren (Jumborolle, Recycling)",Einkauf!N8*Einkauf!O8*Faktoren!$E$14,0)+IF(M8="Toilettenpapier: Verbrauch reduzieren (Normalrolle, Frischfaser)",Einkauf!N8*Einkauf!O8*Faktoren!$E$15,0)+IF(M8="Toilettenpapier: Verbrauch reduzieren (Normalrolle, Recycling)",Einkauf!N8*Einkauf!O8*Faktoren!$E$16,0)+IF(M8="Papierhandtücher: Frischfaser durch Recyclingpapier ersetzen",Einkauf!N8*Einkauf!O8*Faktoren!$E$18,0)+IF(M8="Papierhandtücher: Verbrauch reduzieren (Frischfaser)",Einkauf!N8*Einkauf!O8*Faktoren!$E$19,0)+IF(M8="Papierhandtücher: Verbrauch reduzieren (Recycling)",Einkauf!N8*Einkauf!O8*Faktoren!$E$20,0)</f>
        <v>0</v>
      </c>
    </row>
    <row r="9" spans="1:16" ht="49.5" customHeight="1" x14ac:dyDescent="0.25">
      <c r="A9" s="30" t="s">
        <v>22</v>
      </c>
      <c r="B9" s="59"/>
      <c r="C9" s="60"/>
      <c r="D9" s="60"/>
      <c r="E9" s="60"/>
      <c r="F9" s="56"/>
      <c r="G9" s="60"/>
      <c r="H9" s="60"/>
      <c r="I9" s="58"/>
      <c r="J9" s="58"/>
      <c r="K9" s="58"/>
      <c r="M9" s="164"/>
      <c r="N9" s="165"/>
      <c r="O9" s="166"/>
      <c r="P9" s="142">
        <f>IF(M9="Kopierpapier: Frischfaserpapier durch Recyclingpapier ersetzen",Einkauf!N9*Einkauf!O9*Faktoren!$E$9,0)+IF(M9="Kopierpapier: Papierverbrauch reduzieren (Frischfaser)",Einkauf!N9*Einkauf!O9*Faktoren!$E$10,0)+IF(M9="Toilettenpapier: Frischfaser- durch Recyclingpapier ersetzen (Normalrolle)",Einkauf!N9*Einkauf!O9*Faktoren!$E$11,0)+IF(M9="Toilettenpapier: Frischfaser- durch Recyclingpapier ersetzen (Jumborolle)",Einkauf!N9*Einkauf!O9*Faktoren!$E$12,0)+IF(M9="Toilettenpapier: Verbrauch reduzieren (Jumborolle, Frischfaser)",Einkauf!N9*Einkauf!O9*Faktoren!$E$13,0)+IF(M9="Toilettenpapier: Verbrauch reduzieren (Jumborolle, Recycling)",Einkauf!N9*Einkauf!O9*Faktoren!$E$14,0)+IF(M9="Toilettenpapier: Verbrauch reduzieren (Normalrolle, Frischfaser)",Einkauf!N9*Einkauf!O9*Faktoren!$E$15,0)+IF(M9="Toilettenpapier: Verbrauch reduzieren (Normalrolle, Recycling)",Einkauf!N9*Einkauf!O9*Faktoren!$E$16,0)+IF(M9="Papierhandtücher: Frischfaser durch Recyclingpapier ersetzen",Einkauf!N9*Einkauf!O9*Faktoren!$E$18,0)+IF(M9="Papierhandtücher: Verbrauch reduzieren (Frischfaser)",Einkauf!N9*Einkauf!O9*Faktoren!$E$19,0)+IF(M9="Papierhandtücher: Verbrauch reduzieren (Recycling)",Einkauf!N9*Einkauf!O9*Faktoren!$E$20,0)</f>
        <v>0</v>
      </c>
    </row>
    <row r="10" spans="1:16" ht="50.1" customHeight="1" x14ac:dyDescent="0.25">
      <c r="A10" s="30" t="s">
        <v>23</v>
      </c>
      <c r="B10" s="59"/>
      <c r="C10" s="60"/>
      <c r="D10" s="60"/>
      <c r="E10" s="60"/>
      <c r="F10" s="56"/>
      <c r="G10" s="60"/>
      <c r="H10" s="60"/>
      <c r="I10" s="58"/>
      <c r="J10" s="58"/>
      <c r="K10" s="58"/>
      <c r="M10" s="164"/>
      <c r="N10" s="165"/>
      <c r="O10" s="166"/>
      <c r="P10" s="142">
        <f>IF(M10="Kopierpapier: Frischfaserpapier durch Recyclingpapier ersetzen",Einkauf!N10*Einkauf!O10*Faktoren!$E$9,0)+IF(M10="Kopierpapier: Papierverbrauch reduzieren (Frischfaser)",Einkauf!N10*Einkauf!O10*Faktoren!$E$10,0)+IF(M10="Toilettenpapier: Frischfaser- durch Recyclingpapier ersetzen (Normalrolle)",Einkauf!N10*Einkauf!O10*Faktoren!$E$11,0)+IF(M10="Toilettenpapier: Frischfaser- durch Recyclingpapier ersetzen (Jumborolle)",Einkauf!N10*Einkauf!O10*Faktoren!$E$12,0)+IF(M10="Toilettenpapier: Verbrauch reduzieren (Jumborolle, Frischfaser)",Einkauf!N10*Einkauf!O10*Faktoren!$E$13,0)+IF(M10="Toilettenpapier: Verbrauch reduzieren (Jumborolle, Recycling)",Einkauf!N10*Einkauf!O10*Faktoren!$E$14,0)+IF(M10="Toilettenpapier: Verbrauch reduzieren (Normalrolle, Frischfaser)",Einkauf!N10*Einkauf!O10*Faktoren!$E$15,0)+IF(M10="Toilettenpapier: Verbrauch reduzieren (Normalrolle, Recycling)",Einkauf!N10*Einkauf!O10*Faktoren!$E$16,0)+IF(M10="Papierhandtücher: Frischfaser durch Recyclingpapier ersetzen",Einkauf!N10*Einkauf!O10*Faktoren!$E$18,0)+IF(M10="Papierhandtücher: Verbrauch reduzieren (Frischfaser)",Einkauf!N10*Einkauf!O10*Faktoren!$E$19,0)+IF(M10="Papierhandtücher: Verbrauch reduzieren (Recycling)",Einkauf!N10*Einkauf!O10*Faktoren!$E$20,0)</f>
        <v>0</v>
      </c>
    </row>
    <row r="11" spans="1:16" ht="49.5" customHeight="1" x14ac:dyDescent="0.25">
      <c r="A11" s="30" t="s">
        <v>24</v>
      </c>
      <c r="B11" s="59"/>
      <c r="C11" s="60"/>
      <c r="D11" s="60"/>
      <c r="E11" s="60"/>
      <c r="F11" s="56"/>
      <c r="G11" s="60"/>
      <c r="H11" s="60"/>
      <c r="I11" s="58"/>
      <c r="J11" s="58"/>
      <c r="K11" s="58"/>
      <c r="M11" s="164"/>
      <c r="N11" s="165"/>
      <c r="O11" s="166"/>
      <c r="P11" s="142">
        <f>IF(M11="Kopierpapier: Frischfaserpapier durch Recyclingpapier ersetzen",Einkauf!N11*Einkauf!O11*Faktoren!$E$9,0)+IF(M11="Kopierpapier: Papierverbrauch reduzieren (Frischfaser)",Einkauf!N11*Einkauf!O11*Faktoren!$E$10,0)+IF(M11="Toilettenpapier: Frischfaser- durch Recyclingpapier ersetzen (Normalrolle)",Einkauf!N11*Einkauf!O11*Faktoren!$E$11,0)+IF(M11="Toilettenpapier: Frischfaser- durch Recyclingpapier ersetzen (Jumborolle)",Einkauf!N11*Einkauf!O11*Faktoren!$E$12,0)+IF(M11="Toilettenpapier: Verbrauch reduzieren (Jumborolle, Frischfaser)",Einkauf!N11*Einkauf!O11*Faktoren!$E$13,0)+IF(M11="Toilettenpapier: Verbrauch reduzieren (Jumborolle, Recycling)",Einkauf!N11*Einkauf!O11*Faktoren!$E$14,0)+IF(M11="Toilettenpapier: Verbrauch reduzieren (Normalrolle, Frischfaser)",Einkauf!N11*Einkauf!O11*Faktoren!$E$15,0)+IF(M11="Toilettenpapier: Verbrauch reduzieren (Normalrolle, Recycling)",Einkauf!N11*Einkauf!O11*Faktoren!$E$16,0)+IF(M11="Papierhandtücher: Frischfaser durch Recyclingpapier ersetzen",Einkauf!N11*Einkauf!O11*Faktoren!$E$18,0)+IF(M11="Papierhandtücher: Verbrauch reduzieren (Frischfaser)",Einkauf!N11*Einkauf!O11*Faktoren!$E$19,0)+IF(M11="Papierhandtücher: Verbrauch reduzieren (Recycling)",Einkauf!N11*Einkauf!O11*Faktoren!$E$20,0)</f>
        <v>0</v>
      </c>
    </row>
    <row r="12" spans="1:16" ht="50.1" customHeight="1" x14ac:dyDescent="0.25">
      <c r="A12" s="62" t="s">
        <v>25</v>
      </c>
      <c r="B12" s="59"/>
      <c r="C12" s="60"/>
      <c r="D12" s="60"/>
      <c r="E12" s="60"/>
      <c r="F12" s="56"/>
      <c r="G12" s="60"/>
      <c r="H12" s="60"/>
      <c r="I12" s="58"/>
      <c r="J12" s="58"/>
      <c r="K12" s="58"/>
      <c r="M12" s="164"/>
      <c r="N12" s="165"/>
      <c r="O12" s="166"/>
      <c r="P12" s="142">
        <f>IF(M12="Kopierpapier: Frischfaserpapier durch Recyclingpapier ersetzen",Einkauf!N12*Einkauf!O12*Faktoren!$E$9,0)+IF(M12="Kopierpapier: Papierverbrauch reduzieren (Frischfaser)",Einkauf!N12*Einkauf!O12*Faktoren!$E$10,0)+IF(M12="Toilettenpapier: Frischfaser- durch Recyclingpapier ersetzen (Normalrolle)",Einkauf!N12*Einkauf!O12*Faktoren!$E$11,0)+IF(M12="Toilettenpapier: Frischfaser- durch Recyclingpapier ersetzen (Jumborolle)",Einkauf!N12*Einkauf!O12*Faktoren!$E$12,0)+IF(M12="Toilettenpapier: Verbrauch reduzieren (Jumborolle, Frischfaser)",Einkauf!N12*Einkauf!O12*Faktoren!$E$13,0)+IF(M12="Toilettenpapier: Verbrauch reduzieren (Jumborolle, Recycling)",Einkauf!N12*Einkauf!O12*Faktoren!$E$14,0)+IF(M12="Toilettenpapier: Verbrauch reduzieren (Normalrolle, Frischfaser)",Einkauf!N12*Einkauf!O12*Faktoren!$E$15,0)+IF(M12="Toilettenpapier: Verbrauch reduzieren (Normalrolle, Recycling)",Einkauf!N12*Einkauf!O12*Faktoren!$E$16,0)+IF(M12="Papierhandtücher: Frischfaser durch Recyclingpapier ersetzen",Einkauf!N12*Einkauf!O12*Faktoren!$E$18,0)+IF(M12="Papierhandtücher: Verbrauch reduzieren (Frischfaser)",Einkauf!N12*Einkauf!O12*Faktoren!$E$19,0)+IF(M12="Papierhandtücher: Verbrauch reduzieren (Recycling)",Einkauf!N12*Einkauf!O12*Faktoren!$E$20,0)</f>
        <v>0</v>
      </c>
    </row>
    <row r="13" spans="1:16" ht="22.5" customHeight="1" x14ac:dyDescent="0.25">
      <c r="A13" s="29"/>
      <c r="B13" s="28"/>
      <c r="C13" s="7"/>
      <c r="D13" s="7"/>
      <c r="E13" s="28"/>
      <c r="F13" s="7"/>
      <c r="G13" s="7"/>
      <c r="H13" s="31" t="s">
        <v>7</v>
      </c>
      <c r="I13" s="43">
        <f>SUM(I8:I12)</f>
        <v>0</v>
      </c>
      <c r="J13" s="43">
        <f>SUM(J8:J12)</f>
        <v>0</v>
      </c>
      <c r="K13" s="43">
        <f>SUM(K8:K12)</f>
        <v>0</v>
      </c>
    </row>
    <row r="14" spans="1:16" ht="34.5" customHeight="1" x14ac:dyDescent="0.25"/>
    <row r="15" spans="1:16" x14ac:dyDescent="0.25">
      <c r="M15" s="80"/>
      <c r="N15" s="129"/>
      <c r="O15" s="88"/>
      <c r="P15" s="130"/>
    </row>
    <row r="16" spans="1:16" x14ac:dyDescent="0.25">
      <c r="M16" s="80"/>
      <c r="N16" s="129"/>
      <c r="O16" s="88"/>
      <c r="P16" s="130"/>
    </row>
    <row r="17" spans="13:16" x14ac:dyDescent="0.25">
      <c r="M17" s="81"/>
      <c r="N17" s="129"/>
      <c r="O17" s="82"/>
      <c r="P17" s="130"/>
    </row>
    <row r="18" spans="13:16" x14ac:dyDescent="0.25">
      <c r="M18" s="81"/>
      <c r="N18" s="129"/>
      <c r="O18" s="82"/>
      <c r="P18" s="130"/>
    </row>
    <row r="19" spans="13:16" x14ac:dyDescent="0.25">
      <c r="M19" s="81"/>
      <c r="N19" s="129"/>
      <c r="O19" s="82"/>
      <c r="P19" s="130"/>
    </row>
    <row r="20" spans="13:16" x14ac:dyDescent="0.25">
      <c r="M20" s="80"/>
      <c r="N20" s="129"/>
      <c r="O20" s="1"/>
      <c r="P20" s="130"/>
    </row>
    <row r="21" spans="13:16" x14ac:dyDescent="0.25">
      <c r="M21" s="80"/>
      <c r="N21" s="129"/>
      <c r="O21" s="1"/>
      <c r="P21" s="130"/>
    </row>
    <row r="46" spans="8:8" x14ac:dyDescent="0.25">
      <c r="H46" s="150"/>
    </row>
    <row r="47" spans="8:8" x14ac:dyDescent="0.25">
      <c r="H47" s="150"/>
    </row>
    <row r="48" spans="8:8" x14ac:dyDescent="0.25">
      <c r="H48" s="150"/>
    </row>
    <row r="49" spans="8:8" x14ac:dyDescent="0.25">
      <c r="H49" s="150"/>
    </row>
    <row r="50" spans="8:8" x14ac:dyDescent="0.25">
      <c r="H50" s="150"/>
    </row>
    <row r="51" spans="8:8" x14ac:dyDescent="0.25">
      <c r="H51" s="150"/>
    </row>
    <row r="52" spans="8:8" x14ac:dyDescent="0.25">
      <c r="H52" s="150"/>
    </row>
    <row r="53" spans="8:8" x14ac:dyDescent="0.25">
      <c r="H53" s="150"/>
    </row>
    <row r="54" spans="8:8" x14ac:dyDescent="0.25">
      <c r="H54" s="150"/>
    </row>
    <row r="55" spans="8:8" x14ac:dyDescent="0.25">
      <c r="H55" s="150"/>
    </row>
    <row r="56" spans="8:8" x14ac:dyDescent="0.25">
      <c r="H56" s="150"/>
    </row>
    <row r="57" spans="8:8" x14ac:dyDescent="0.25">
      <c r="H57" s="150"/>
    </row>
  </sheetData>
  <sheetProtection sheet="1" objects="1" scenarios="1" selectLockedCells="1"/>
  <sortState xmlns:xlrd2="http://schemas.microsoft.com/office/spreadsheetml/2017/richdata2" ref="H46:H57">
    <sortCondition ref="H46:H57"/>
  </sortState>
  <mergeCells count="13">
    <mergeCell ref="F6:F7"/>
    <mergeCell ref="A6:A7"/>
    <mergeCell ref="B6:B7"/>
    <mergeCell ref="C6:C7"/>
    <mergeCell ref="D6:D7"/>
    <mergeCell ref="E6:E7"/>
    <mergeCell ref="M6:M7"/>
    <mergeCell ref="N6:N7"/>
    <mergeCell ref="O6:O7"/>
    <mergeCell ref="P6:P7"/>
    <mergeCell ref="G6:G7"/>
    <mergeCell ref="H6:H7"/>
    <mergeCell ref="I6:K6"/>
  </mergeCells>
  <phoneticPr fontId="2" type="noConversion"/>
  <conditionalFormatting sqref="F8:F12">
    <cfRule type="containsText" dxfId="18" priority="14" operator="containsText" text="Umsetzung nicht möglich">
      <formula>NOT(ISERROR(SEARCH("Umsetzung nicht möglich",F8)))</formula>
    </cfRule>
    <cfRule type="containsText" dxfId="17" priority="15" operator="containsText" text="bisher nicht umgesetzt">
      <formula>NOT(ISERROR(SEARCH("bisher nicht umgesetzt",F8)))</formula>
    </cfRule>
    <cfRule type="containsText" dxfId="16" priority="16" operator="containsText" text="zukünftiger Termin">
      <formula>NOT(ISERROR(SEARCH("zukünftiger Termin",F8)))</formula>
    </cfRule>
    <cfRule type="containsText" dxfId="15" priority="17" operator="containsText" text="In Umsetzung (Ende)">
      <formula>NOT(ISERROR(SEARCH("In Umsetzung (Ende)",F8)))</formula>
    </cfRule>
    <cfRule type="containsText" dxfId="14" priority="18" operator="containsText" text="In Umsetzung (Mitte)">
      <formula>NOT(ISERROR(SEARCH("In Umsetzung (Mitte)",F8)))</formula>
    </cfRule>
    <cfRule type="containsText" dxfId="13" priority="19" operator="containsText" text="In Umsetzung (Anfang)">
      <formula>NOT(ISERROR(SEARCH("In Umsetzung (Anfang)",F8)))</formula>
    </cfRule>
    <cfRule type="containsText" dxfId="12" priority="20" operator="containsText" text="umgesetzt">
      <formula>NOT(ISERROR(SEARCH("umgesetzt",F8)))</formula>
    </cfRule>
  </conditionalFormatting>
  <conditionalFormatting sqref="F10:F11">
    <cfRule type="containsText" dxfId="11" priority="13" operator="containsText" text="Umsetzung nicht möglich">
      <formula>NOT(ISERROR(SEARCH("Umsetzung nicht möglich",F10)))</formula>
    </cfRule>
  </conditionalFormatting>
  <conditionalFormatting sqref="N8:N12">
    <cfRule type="expression" dxfId="10" priority="1">
      <formula>M8="Toilettenpapier: Verbrauch reduzieren (Jumborolle, Recycling)"</formula>
    </cfRule>
    <cfRule type="expression" dxfId="9" priority="2">
      <formula>M8="Toilettenpapier: Verbrauch reduzieren (Jumborolle, Frischfaser)"</formula>
    </cfRule>
    <cfRule type="expression" dxfId="8" priority="3">
      <formula>M8="Toilettenpapier: Frischfaser- durch Recyclingpapier ersetzen (Jumborolle)"</formula>
    </cfRule>
    <cfRule type="expression" dxfId="7" priority="4">
      <formula>M8="Toilettenpapier: Verbrauch reduzieren (Normalrolle, Recycling)"</formula>
    </cfRule>
    <cfRule type="expression" dxfId="6" priority="5">
      <formula>M8="Toilettenpapier: Verbrauch reduzieren (Normalrolle, Frischfaser)"</formula>
    </cfRule>
    <cfRule type="expression" dxfId="5" priority="6">
      <formula>M8="Toilettenpapier: Frischfaser- durch Recyclingpapier ersetzen (Normalrolle)"</formula>
    </cfRule>
    <cfRule type="expression" dxfId="4" priority="8">
      <formula>M8="Papierhandtücher: Verbrauch reduzieren (Recycling)"</formula>
    </cfRule>
    <cfRule type="expression" dxfId="3" priority="9">
      <formula>M8="Papierhandtücher: Verbrauch reduzieren (Frischfaser)"</formula>
    </cfRule>
    <cfRule type="expression" dxfId="2" priority="10">
      <formula>M8="Kopierpapier: Papierverbrauch reduzieren (Recycling)"</formula>
    </cfRule>
    <cfRule type="expression" dxfId="1" priority="11">
      <formula>M8="Kopierpapier: Frischfaserpapier durch Recyclingpapier ersetzen"</formula>
    </cfRule>
    <cfRule type="expression" dxfId="0" priority="12">
      <formula>M8="Kopierpapier: Papierverbrauch reduzieren (Frischfaser)"</formula>
    </cfRule>
  </conditionalFormatting>
  <dataValidations count="1">
    <dataValidation type="list" allowBlank="1" showInputMessage="1" showErrorMessage="1" sqref="O8:O12 O15:O21" xr:uid="{9730879A-A955-47AE-B731-51A018CD5B63}">
      <formula1>"10 %, 20 %, 30%, 40 %, 50 %, 60 %, 70 %, 80 %, 90 %, 100 %"</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Schlüsselprojekt!$A$1:$A$2</xm:f>
          </x14:formula1>
          <xm:sqref>D8:D12</xm:sqref>
        </x14:dataValidation>
        <x14:dataValidation type="list" allowBlank="1" showInputMessage="1" showErrorMessage="1" xr:uid="{00000000-0002-0000-0200-000001000000}">
          <x14:formula1>
            <xm:f>Status!$A$2:$A$10</xm:f>
          </x14:formula1>
          <xm:sqref>F8:F12</xm:sqref>
        </x14:dataValidation>
        <x14:dataValidation type="list" allowBlank="1" showInputMessage="1" showErrorMessage="1" xr:uid="{9F2E07ED-A13B-41B5-9F85-9055DE0867B7}">
          <x14:formula1>
            <xm:f>Faktoren!$C$9:$C$20</xm:f>
          </x14:formula1>
          <xm:sqref>M8:M12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tabColor rgb="FF6CBC44"/>
  </sheetPr>
  <dimension ref="A6:P51"/>
  <sheetViews>
    <sheetView showGridLines="0" zoomScale="80" zoomScaleNormal="80" workbookViewId="0">
      <selection activeCell="A8" sqref="A8"/>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 min="12" max="12" width="11.42578125" customWidth="1"/>
    <col min="13" max="13" width="70.7109375" customWidth="1"/>
    <col min="14" max="14" width="41" bestFit="1" customWidth="1"/>
    <col min="15" max="15" width="37.7109375" bestFit="1" customWidth="1"/>
    <col min="16" max="16" width="28" bestFit="1" customWidth="1"/>
  </cols>
  <sheetData>
    <row r="6" spans="1:16" ht="30" customHeight="1" x14ac:dyDescent="0.25">
      <c r="A6" s="219" t="s">
        <v>4</v>
      </c>
      <c r="B6" s="219" t="s">
        <v>3</v>
      </c>
      <c r="C6" s="219" t="s">
        <v>9</v>
      </c>
      <c r="D6" s="219" t="s">
        <v>6</v>
      </c>
      <c r="E6" s="219" t="s">
        <v>88</v>
      </c>
      <c r="F6" s="219" t="s">
        <v>5</v>
      </c>
      <c r="G6" s="219" t="s">
        <v>78</v>
      </c>
      <c r="H6" s="219" t="s">
        <v>8</v>
      </c>
      <c r="I6" s="223" t="s">
        <v>91</v>
      </c>
      <c r="J6" s="224"/>
      <c r="K6" s="225"/>
      <c r="M6" s="221" t="s">
        <v>667</v>
      </c>
      <c r="N6" s="222" t="s">
        <v>556</v>
      </c>
      <c r="O6" s="295" t="s">
        <v>681</v>
      </c>
      <c r="P6" s="222" t="s">
        <v>91</v>
      </c>
    </row>
    <row r="7" spans="1:16" ht="30" customHeight="1" x14ac:dyDescent="0.25">
      <c r="A7" s="220"/>
      <c r="B7" s="220"/>
      <c r="C7" s="220"/>
      <c r="D7" s="220"/>
      <c r="E7" s="220"/>
      <c r="F7" s="220"/>
      <c r="G7" s="220"/>
      <c r="H7" s="220"/>
      <c r="I7" s="34" t="str">
        <f>"bis"&amp;CHAR(10)
&amp;Überblick!E20</f>
        <v>bis
2025</v>
      </c>
      <c r="J7" s="34" t="str">
        <f>"bis"&amp;CHAR(10)
&amp;Überblick!F20</f>
        <v>bis
2028</v>
      </c>
      <c r="K7" s="34" t="str">
        <f>"bis"&amp;CHAR(10)
&amp;Überblick!G20</f>
        <v>bis
2032</v>
      </c>
      <c r="M7" s="221"/>
      <c r="N7" s="222"/>
      <c r="O7" s="295"/>
      <c r="P7" s="222"/>
    </row>
    <row r="8" spans="1:16" ht="50.1" customHeight="1" x14ac:dyDescent="0.25">
      <c r="A8" s="63" t="s">
        <v>73</v>
      </c>
      <c r="B8" s="55"/>
      <c r="C8" s="56"/>
      <c r="D8" s="56"/>
      <c r="E8" s="57"/>
      <c r="F8" s="56"/>
      <c r="G8" s="56"/>
      <c r="H8" s="56"/>
      <c r="I8" s="58"/>
      <c r="J8" s="58"/>
      <c r="K8" s="58"/>
      <c r="M8" s="167" t="s">
        <v>539</v>
      </c>
      <c r="N8" s="165">
        <v>100000</v>
      </c>
      <c r="O8" s="166">
        <v>0.6</v>
      </c>
      <c r="P8" s="142">
        <f>IF(M8="Mensa: Fleischgerichte durch vegetarische Gerichte ersetzen",Ernährung!N8*Ernährung!O8*Faktoren!$E$23,0)+IF(M8="Mensa: Fleischgerichte durch vegane Gerichte ersetzen",Ernährung!N8*Ernährung!O8*Faktoren!$E$24,0)+IF(M8="Mensa: Vegetarische Gerichte durch vegane Gerichte ersetzen",Ernährung!N8*Ernährung!O8*Faktoren!$E$25,0)+IF(M8="Pausenverkauf: Wurstbrötchen durch vegetarisch belegte Brötchen ersetzen",Ernährung!N8*Ernährung!O8*Faktoren!$E$26,0)+IF(M8="Pausenverkauf: Wurstbrötchen durch vegan belegte Brötchen ersetzen",Ernährung!N8*Ernährung!O8*Faktoren!$E$27,0)+IF(M8="Pausenverkauf: Vegetarisch belegte Brötchen durch vegan belegte Brötchen ersetzen",Ernährung!N8*Ernährung!O8*Faktoren!$E$28,0)+IF(M8="Pausenverkauf: Wurstverkauf (Wiener, Bockwurst) reduzieren",Ernährung!N8*Ernährung!O8*Faktoren!$E$29,0)+IF(M8="Kaffeekonsum reduzieren (in kg)",Ernährung!N8*Ernährung!O8*Faktoren!$E$30,0)+IF(M8="Kaffeekonsum reduzieren (in Liter)",Ernährung!N8*Ernährung!O8*Faktoren!$E$31,0)+IF(M8="Milchverbrauch reduzieren",Ernährung!N8*Ernährung!O8*Faktoren!$E$32,0)+IF(M8="Milch durch veganes Milchgetränk ersetzen",Ernährung!N8*Ernährung!O8*Faktoren!$E$33,0)+IF(M8="Getränkeautomat durch Trinkwasserspender ersetzen",Ernährung!N8*Ernährung!O8*Faktoren!$E$34,0)</f>
        <v>48000</v>
      </c>
    </row>
    <row r="9" spans="1:16" ht="50.1" customHeight="1" x14ac:dyDescent="0.25">
      <c r="A9" s="63" t="s">
        <v>74</v>
      </c>
      <c r="B9" s="59"/>
      <c r="C9" s="60"/>
      <c r="D9" s="60"/>
      <c r="E9" s="60"/>
      <c r="F9" s="56"/>
      <c r="G9" s="60"/>
      <c r="H9" s="60"/>
      <c r="I9" s="58"/>
      <c r="J9" s="58"/>
      <c r="K9" s="58"/>
      <c r="M9" s="167"/>
      <c r="N9" s="165"/>
      <c r="O9" s="166"/>
      <c r="P9" s="142">
        <f>IF(M9="Mensa: Fleischgerichte durch vegetarische Gerichte ersetzen",Ernährung!N9*Ernährung!O9*Faktoren!$E$23,0)+IF(M9="Mensa: Fleischgerichte durch vegane Gerichte ersetzen",Ernährung!N9*Ernährung!O9*Faktoren!$E$24,0)+IF(M9="Mensa: Vegetarische Gerichte durch vegane Gerichte ersetzen",Ernährung!N9*Ernährung!O9*Faktoren!$E$25,0)+IF(M9="Pausenverkauf: Wurstbrötchen durch vegetarisch belegte Brötchen ersetzen",Ernährung!N9*Ernährung!O9*Faktoren!$E$26,0)+IF(M9="Pausenverkauf: Wurstbrötchen durch vegan belegte Brötchen ersetzen",Ernährung!N9*Ernährung!O9*Faktoren!$E$27,0)+IF(M9="Pausenverkauf: Vegetarisch belegte Brötchen durch vegan belegte Brötchen ersetzen",Ernährung!N9*Ernährung!O9*Faktoren!$E$28,0)+IF(M9="Pausenverkauf: Wurstverkauf (Wiener, Bockwurst) reduzieren",Ernährung!N9*Ernährung!O9*Faktoren!$E$29,0)+IF(M9="Kaffeekonsum reduzieren (in kg)",Ernährung!N9*Ernährung!O9*Faktoren!$E$30,0)+IF(M9="Kaffeekonsum reduzieren (in Liter)",Ernährung!N9*Ernährung!O9*Faktoren!$E$31,0)+IF(M9="Milchverbrauch reduzieren",Ernährung!N9*Ernährung!O9*Faktoren!$E$32,0)+IF(M9="Milch durch veganes Milchgetränk ersetzen",Ernährung!N9*Ernährung!O9*Faktoren!$E$33,0)+IF(M9="Getränkeautomat durch Trinkwasserspender ersetzen",Ernährung!N9*Ernährung!O9*Faktoren!$E$34,0)</f>
        <v>0</v>
      </c>
    </row>
    <row r="10" spans="1:16" ht="50.1" customHeight="1" x14ac:dyDescent="0.25">
      <c r="A10" s="63" t="s">
        <v>75</v>
      </c>
      <c r="B10" s="59"/>
      <c r="C10" s="60"/>
      <c r="D10" s="60"/>
      <c r="E10" s="60"/>
      <c r="F10" s="56"/>
      <c r="G10" s="60"/>
      <c r="H10" s="60"/>
      <c r="I10" s="58"/>
      <c r="J10" s="58"/>
      <c r="K10" s="58"/>
      <c r="M10" s="167"/>
      <c r="N10" s="165"/>
      <c r="O10" s="166"/>
      <c r="P10" s="142">
        <f>IF(M10="Mensa: Fleischgerichte durch vegetarische Gerichte ersetzen",Ernährung!N10*Ernährung!O10*Faktoren!$E$23,0)+IF(M10="Mensa: Fleischgerichte durch vegane Gerichte ersetzen",Ernährung!N10*Ernährung!O10*Faktoren!$E$24,0)+IF(M10="Mensa: Vegetarische Gerichte durch vegane Gerichte ersetzen",Ernährung!N10*Ernährung!O10*Faktoren!$E$25,0)+IF(M10="Pausenverkauf: Wurstbrötchen durch vegetarisch belegte Brötchen ersetzen",Ernährung!N10*Ernährung!O10*Faktoren!$E$26,0)+IF(M10="Pausenverkauf: Wurstbrötchen durch vegan belegte Brötchen ersetzen",Ernährung!N10*Ernährung!O10*Faktoren!$E$27,0)+IF(M10="Pausenverkauf: Vegetarisch belegte Brötchen durch vegan belegte Brötchen ersetzen",Ernährung!N10*Ernährung!O10*Faktoren!$E$28,0)+IF(M10="Pausenverkauf: Wurstverkauf (Wiener, Bockwurst) reduzieren",Ernährung!N10*Ernährung!O10*Faktoren!$E$29,0)+IF(M10="Kaffeekonsum reduzieren (in kg)",Ernährung!N10*Ernährung!O10*Faktoren!$E$30,0)+IF(M10="Kaffeekonsum reduzieren (in Liter)",Ernährung!N10*Ernährung!O10*Faktoren!$E$31,0)+IF(M10="Milchverbrauch reduzieren",Ernährung!N10*Ernährung!O10*Faktoren!$E$32,0)+IF(M10="Milch durch veganes Milchgetränk ersetzen",Ernährung!N10*Ernährung!O10*Faktoren!$E$33,0)+IF(M10="Getränkeautomat durch Trinkwasserspender ersetzen",Ernährung!N10*Ernährung!O10*Faktoren!$E$34,0)</f>
        <v>0</v>
      </c>
    </row>
    <row r="11" spans="1:16" ht="50.1" customHeight="1" x14ac:dyDescent="0.25">
      <c r="A11" s="63" t="s">
        <v>76</v>
      </c>
      <c r="B11" s="59"/>
      <c r="C11" s="60"/>
      <c r="D11" s="60"/>
      <c r="E11" s="60"/>
      <c r="F11" s="56"/>
      <c r="G11" s="60"/>
      <c r="H11" s="60"/>
      <c r="I11" s="58"/>
      <c r="J11" s="58"/>
      <c r="K11" s="58"/>
      <c r="M11" s="167"/>
      <c r="N11" s="165"/>
      <c r="O11" s="166"/>
      <c r="P11" s="142">
        <f>IF(M11="Mensa: Fleischgerichte durch vegetarische Gerichte ersetzen",Ernährung!N11*Ernährung!O11*Faktoren!$E$23,0)+IF(M11="Mensa: Fleischgerichte durch vegane Gerichte ersetzen",Ernährung!N11*Ernährung!O11*Faktoren!$E$24,0)+IF(M11="Mensa: Vegetarische Gerichte durch vegane Gerichte ersetzen",Ernährung!N11*Ernährung!O11*Faktoren!$E$25,0)+IF(M11="Pausenverkauf: Wurstbrötchen durch vegetarisch belegte Brötchen ersetzen",Ernährung!N11*Ernährung!O11*Faktoren!$E$26,0)+IF(M11="Pausenverkauf: Wurstbrötchen durch vegan belegte Brötchen ersetzen",Ernährung!N11*Ernährung!O11*Faktoren!$E$27,0)+IF(M11="Pausenverkauf: Vegetarisch belegte Brötchen durch vegan belegte Brötchen ersetzen",Ernährung!N11*Ernährung!O11*Faktoren!$E$28,0)+IF(M11="Pausenverkauf: Wurstverkauf (Wiener, Bockwurst) reduzieren",Ernährung!N11*Ernährung!O11*Faktoren!$E$29,0)+IF(M11="Kaffeekonsum reduzieren (in kg)",Ernährung!N11*Ernährung!O11*Faktoren!$E$30,0)+IF(M11="Kaffeekonsum reduzieren (in Liter)",Ernährung!N11*Ernährung!O11*Faktoren!$E$31,0)+IF(M11="Milchverbrauch reduzieren",Ernährung!N11*Ernährung!O11*Faktoren!$E$32,0)+IF(M11="Milch durch veganes Milchgetränk ersetzen",Ernährung!N11*Ernährung!O11*Faktoren!$E$33,0)+IF(M11="Getränkeautomat durch Trinkwasserspender ersetzen",Ernährung!N11*Ernährung!O11*Faktoren!$E$34,0)</f>
        <v>0</v>
      </c>
    </row>
    <row r="12" spans="1:16" ht="50.25" customHeight="1" x14ac:dyDescent="0.25">
      <c r="A12" s="64" t="s">
        <v>77</v>
      </c>
      <c r="B12" s="59"/>
      <c r="C12" s="60"/>
      <c r="D12" s="60"/>
      <c r="E12" s="60"/>
      <c r="F12" s="56"/>
      <c r="G12" s="60"/>
      <c r="H12" s="60"/>
      <c r="I12" s="58"/>
      <c r="J12" s="58"/>
      <c r="K12" s="58"/>
      <c r="M12" s="167"/>
      <c r="N12" s="165"/>
      <c r="O12" s="166"/>
      <c r="P12" s="142">
        <f>IF(M12="Mensa: Fleischgerichte durch vegetarische Gerichte ersetzen",Ernährung!N12*Ernährung!O12*Faktoren!$E$23,0)+IF(M12="Mensa: Fleischgerichte durch vegane Gerichte ersetzen",Ernährung!N12*Ernährung!O12*Faktoren!$E$24,0)+IF(M12="Mensa: Vegetarische Gerichte durch vegane Gerichte ersetzen",Ernährung!N12*Ernährung!O12*Faktoren!$E$25,0)+IF(M12="Pausenverkauf: Wurstbrötchen durch vegetarisch belegte Brötchen ersetzen",Ernährung!N12*Ernährung!O12*Faktoren!$E$26,0)+IF(M12="Pausenverkauf: Wurstbrötchen durch vegan belegte Brötchen ersetzen",Ernährung!N12*Ernährung!O12*Faktoren!$E$27,0)+IF(M12="Pausenverkauf: Vegetarisch belegte Brötchen durch vegan belegte Brötchen ersetzen",Ernährung!N12*Ernährung!O12*Faktoren!$E$28,0)+IF(M12="Pausenverkauf: Wurstverkauf (Wiener, Bockwurst) reduzieren",Ernährung!N12*Ernährung!O12*Faktoren!$E$29,0)+IF(M12="Kaffeekonsum reduzieren (in kg)",Ernährung!N12*Ernährung!O12*Faktoren!$E$30,0)+IF(M12="Kaffeekonsum reduzieren (in Liter)",Ernährung!N12*Ernährung!O12*Faktoren!$E$31,0)+IF(M12="Milchverbrauch reduzieren",Ernährung!N12*Ernährung!O12*Faktoren!$E$32,0)+IF(M12="Milch durch veganes Milchgetränk ersetzen",Ernährung!N12*Ernährung!O12*Faktoren!$E$33,0)+IF(M12="Getränkeautomat durch Trinkwasserspender ersetzen",Ernährung!N12*Ernährung!O12*Faktoren!$E$34,0)</f>
        <v>0</v>
      </c>
    </row>
    <row r="13" spans="1:16" ht="24" customHeight="1" x14ac:dyDescent="0.25">
      <c r="A13" s="44"/>
      <c r="B13" s="33"/>
      <c r="C13" s="32"/>
      <c r="D13" s="32"/>
      <c r="E13" s="33"/>
      <c r="F13" s="32"/>
      <c r="G13" s="32"/>
      <c r="H13" s="31" t="s">
        <v>7</v>
      </c>
      <c r="I13" s="43">
        <f>SUM(I8:I12)</f>
        <v>0</v>
      </c>
      <c r="J13" s="43">
        <f>SUM(J8:J12)</f>
        <v>0</v>
      </c>
      <c r="K13" s="43">
        <f>SUM(K8:K12)</f>
        <v>0</v>
      </c>
    </row>
    <row r="31" spans="13:16" x14ac:dyDescent="0.25">
      <c r="M31" s="1"/>
      <c r="N31" s="1"/>
      <c r="O31" s="1"/>
      <c r="P31" s="1"/>
    </row>
    <row r="32" spans="13:16" x14ac:dyDescent="0.25">
      <c r="M32" s="80"/>
      <c r="N32" s="132"/>
      <c r="O32" s="82"/>
      <c r="P32" s="130"/>
    </row>
    <row r="33" spans="13:16" x14ac:dyDescent="0.25">
      <c r="M33" s="80"/>
      <c r="N33" s="132"/>
      <c r="O33" s="82"/>
      <c r="P33" s="130"/>
    </row>
    <row r="34" spans="13:16" x14ac:dyDescent="0.25">
      <c r="M34" s="80"/>
      <c r="N34" s="132"/>
      <c r="O34" s="82"/>
      <c r="P34" s="130"/>
    </row>
    <row r="35" spans="13:16" x14ac:dyDescent="0.25">
      <c r="M35" s="80"/>
      <c r="N35" s="129"/>
      <c r="O35" s="88"/>
      <c r="P35" s="130"/>
    </row>
    <row r="36" spans="13:16" x14ac:dyDescent="0.25">
      <c r="M36" s="80"/>
      <c r="N36" s="129"/>
      <c r="O36" s="88"/>
      <c r="P36" s="130"/>
    </row>
    <row r="37" spans="13:16" x14ac:dyDescent="0.25">
      <c r="M37" s="80"/>
      <c r="N37" s="129"/>
      <c r="O37" s="88"/>
      <c r="P37" s="130"/>
    </row>
    <row r="38" spans="13:16" x14ac:dyDescent="0.25">
      <c r="M38" s="80"/>
      <c r="N38" s="129"/>
      <c r="O38" s="88"/>
      <c r="P38" s="130"/>
    </row>
    <row r="39" spans="13:16" x14ac:dyDescent="0.25">
      <c r="M39" s="133"/>
      <c r="N39" s="129"/>
      <c r="O39" s="82"/>
      <c r="P39" s="130"/>
    </row>
    <row r="40" spans="13:16" x14ac:dyDescent="0.25">
      <c r="M40" s="81"/>
      <c r="N40" s="129"/>
      <c r="O40" s="82"/>
      <c r="P40" s="130"/>
    </row>
    <row r="41" spans="13:16" x14ac:dyDescent="0.25">
      <c r="M41" s="81"/>
      <c r="N41" s="129"/>
      <c r="O41" s="82"/>
      <c r="P41" s="130"/>
    </row>
    <row r="42" spans="13:16" x14ac:dyDescent="0.25">
      <c r="M42" s="81"/>
      <c r="N42" s="129"/>
      <c r="O42" s="82"/>
      <c r="P42" s="130"/>
    </row>
    <row r="43" spans="13:16" x14ac:dyDescent="0.25">
      <c r="M43" s="81"/>
      <c r="N43" s="129"/>
      <c r="O43" s="82"/>
      <c r="P43" s="130"/>
    </row>
    <row r="44" spans="13:16" x14ac:dyDescent="0.25">
      <c r="M44" s="80"/>
      <c r="N44" s="129"/>
      <c r="O44" s="1"/>
      <c r="P44" s="130"/>
    </row>
    <row r="45" spans="13:16" x14ac:dyDescent="0.25">
      <c r="M45" s="134"/>
      <c r="N45" s="129"/>
      <c r="O45" s="1"/>
      <c r="P45" s="130"/>
    </row>
    <row r="46" spans="13:16" x14ac:dyDescent="0.25">
      <c r="M46" s="80"/>
      <c r="N46" s="129"/>
      <c r="O46" s="1"/>
      <c r="P46" s="130"/>
    </row>
    <row r="47" spans="13:16" x14ac:dyDescent="0.25">
      <c r="M47" s="80"/>
      <c r="N47" s="129"/>
      <c r="O47" s="1"/>
      <c r="P47" s="130"/>
    </row>
    <row r="48" spans="13:16" x14ac:dyDescent="0.25">
      <c r="M48" s="80"/>
      <c r="N48" s="129"/>
      <c r="O48" s="1"/>
      <c r="P48" s="130"/>
    </row>
    <row r="49" spans="13:16" x14ac:dyDescent="0.25">
      <c r="M49" s="80"/>
      <c r="N49" s="129"/>
      <c r="O49" s="1"/>
      <c r="P49" s="130"/>
    </row>
    <row r="50" spans="13:16" x14ac:dyDescent="0.25">
      <c r="M50" s="80"/>
      <c r="N50" s="129"/>
      <c r="O50" s="1"/>
      <c r="P50" s="130"/>
    </row>
    <row r="51" spans="13:16" x14ac:dyDescent="0.25">
      <c r="M51" s="80"/>
      <c r="N51" s="129"/>
      <c r="O51" s="1"/>
      <c r="P51" s="130"/>
    </row>
  </sheetData>
  <sheetProtection sheet="1" objects="1" scenarios="1" selectLockedCells="1"/>
  <mergeCells count="13">
    <mergeCell ref="M6:M7"/>
    <mergeCell ref="N6:N7"/>
    <mergeCell ref="O6:O7"/>
    <mergeCell ref="P6:P7"/>
    <mergeCell ref="G6:G7"/>
    <mergeCell ref="H6:H7"/>
    <mergeCell ref="I6:K6"/>
    <mergeCell ref="F6:F7"/>
    <mergeCell ref="A6:A7"/>
    <mergeCell ref="B6:B7"/>
    <mergeCell ref="C6:C7"/>
    <mergeCell ref="D6:D7"/>
    <mergeCell ref="E6:E7"/>
  </mergeCells>
  <phoneticPr fontId="2" type="noConversion"/>
  <conditionalFormatting sqref="F8:F12">
    <cfRule type="containsText" dxfId="38" priority="25" operator="containsText" text="Umsetzung nicht möglich">
      <formula>NOT(ISERROR(SEARCH("Umsetzung nicht möglich",F8)))</formula>
    </cfRule>
    <cfRule type="containsText" dxfId="37" priority="26" operator="containsText" text="bisher nicht umgesetzt">
      <formula>NOT(ISERROR(SEARCH("bisher nicht umgesetzt",F8)))</formula>
    </cfRule>
    <cfRule type="containsText" dxfId="36" priority="27" operator="containsText" text="zukünftiger Termin">
      <formula>NOT(ISERROR(SEARCH("zukünftiger Termin",F8)))</formula>
    </cfRule>
    <cfRule type="containsText" dxfId="35" priority="28" operator="containsText" text="In Umsetzung (Ende)">
      <formula>NOT(ISERROR(SEARCH("In Umsetzung (Ende)",F8)))</formula>
    </cfRule>
    <cfRule type="containsText" dxfId="34" priority="29" operator="containsText" text="In Umsetzung (Mitte)">
      <formula>NOT(ISERROR(SEARCH("In Umsetzung (Mitte)",F8)))</formula>
    </cfRule>
    <cfRule type="containsText" dxfId="33" priority="30" operator="containsText" text="In Umsetzung (Anfang)">
      <formula>NOT(ISERROR(SEARCH("In Umsetzung (Anfang)",F8)))</formula>
    </cfRule>
    <cfRule type="containsText" dxfId="32" priority="31" operator="containsText" text="umgesetzt">
      <formula>NOT(ISERROR(SEARCH("umgesetzt",F8)))</formula>
    </cfRule>
  </conditionalFormatting>
  <conditionalFormatting sqref="F10">
    <cfRule type="containsText" dxfId="31" priority="24" operator="containsText" text="Umsetzung nicht möglich">
      <formula>NOT(ISERROR(SEARCH("Umsetzung nicht möglich",F10)))</formula>
    </cfRule>
  </conditionalFormatting>
  <conditionalFormatting sqref="N8:N12">
    <cfRule type="expression" dxfId="30" priority="1">
      <formula>M8="Getränkeautomat durch Trinkwasserspender ersetzen"</formula>
    </cfRule>
    <cfRule type="expression" dxfId="29" priority="2">
      <formula>M8="Milch durch veganes Milchgetränk ersetzen"</formula>
    </cfRule>
    <cfRule type="expression" dxfId="28" priority="3">
      <formula>M8="Milchverbauch reduzieren"</formula>
    </cfRule>
    <cfRule type="expression" dxfId="27" priority="4">
      <formula>M8="Kaffeekonsum reduzieren (in Liter)"</formula>
    </cfRule>
    <cfRule type="expression" dxfId="26" priority="5">
      <formula>M8="Kaffeekonsum reduzieren (in kg)"</formula>
    </cfRule>
    <cfRule type="expression" dxfId="25" priority="6">
      <formula>M8="Pausenverkauf: Wurstverkauf (Wiener, Bockwurst) reduzieren"</formula>
    </cfRule>
    <cfRule type="expression" dxfId="24" priority="7">
      <formula>M8="Pausenverkauf: Vegetarisch belegte Brötchen durch vegan belegte Brötchen ersetzen"</formula>
    </cfRule>
    <cfRule type="expression" dxfId="23" priority="8">
      <formula>M8="Pausenverkauf: Wurstbrötchen durch vegan belegte Brötchen ersetzen"</formula>
    </cfRule>
    <cfRule type="expression" dxfId="22" priority="9">
      <formula>M8="Pausenverkauf: Wurstbrötchen durch vegetarisch belegte Brötchen ersetzen"</formula>
    </cfRule>
    <cfRule type="expression" dxfId="21" priority="10">
      <formula>M8="Mensa: Fleischgerichte durch vegane Gerichte ersetzen"</formula>
    </cfRule>
    <cfRule type="expression" dxfId="20" priority="11">
      <formula>M8="Mensa: Fleischgerichte durch vegetarische Gerichte ersetzen"</formula>
    </cfRule>
    <cfRule type="expression" dxfId="19" priority="12">
      <formula>M8="Mensa: Vegetarische Gerichte durch vegane Gerichte ersetzen"</formula>
    </cfRule>
  </conditionalFormatting>
  <dataValidations count="2">
    <dataValidation type="list" allowBlank="1" showInputMessage="1" showErrorMessage="1" sqref="O32:O51" xr:uid="{CDB1456C-A8F2-40FC-8A33-D090FA1132C3}">
      <formula1>"10 %, 20 %, 30%, 40 %, 50 %, 60%, 70 %, 80 %, 90 %, 100 %"</formula1>
    </dataValidation>
    <dataValidation type="list" allowBlank="1" showInputMessage="1" showErrorMessage="1" sqref="O8:O12" xr:uid="{15C90AD4-BC07-41D3-A26C-1F8C61B86CBD}">
      <formula1>"10 %, 20 %, 30%, 40 %, 50 %, 60 %, 70 %, 80 %, 90 %, 100 %"</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Schlüsselprojekt!$A$1:$A$2</xm:f>
          </x14:formula1>
          <xm:sqref>D8:D12</xm:sqref>
        </x14:dataValidation>
        <x14:dataValidation type="list" allowBlank="1" showInputMessage="1" showErrorMessage="1" xr:uid="{00000000-0002-0000-0300-000001000000}">
          <x14:formula1>
            <xm:f>Status!$A$2:$A$10</xm:f>
          </x14:formula1>
          <xm:sqref>F8:F12</xm:sqref>
        </x14:dataValidation>
        <x14:dataValidation type="list" allowBlank="1" showInputMessage="1" showErrorMessage="1" xr:uid="{3B425FE9-64EB-4448-93F1-2D57050379E9}">
          <x14:formula1>
            <xm:f>Faktoren!$C$23:$C$34</xm:f>
          </x14:formula1>
          <xm:sqref>M8:M12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rgb="FF3A91CF"/>
  </sheetPr>
  <dimension ref="A6:O21"/>
  <sheetViews>
    <sheetView showGridLines="0" zoomScale="80" zoomScaleNormal="80" workbookViewId="0">
      <selection activeCell="J8" sqref="J8"/>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s>
  <sheetData>
    <row r="6" spans="1:15" ht="30" customHeight="1" x14ac:dyDescent="0.25">
      <c r="A6" s="226" t="s">
        <v>4</v>
      </c>
      <c r="B6" s="226" t="s">
        <v>3</v>
      </c>
      <c r="C6" s="226" t="s">
        <v>9</v>
      </c>
      <c r="D6" s="226" t="s">
        <v>6</v>
      </c>
      <c r="E6" s="230" t="s">
        <v>88</v>
      </c>
      <c r="F6" s="226" t="s">
        <v>5</v>
      </c>
      <c r="G6" s="226" t="s">
        <v>10</v>
      </c>
      <c r="H6" s="226" t="s">
        <v>8</v>
      </c>
      <c r="I6" s="227" t="s">
        <v>91</v>
      </c>
      <c r="J6" s="228"/>
      <c r="K6" s="229"/>
    </row>
    <row r="7" spans="1:15" ht="30" customHeight="1" x14ac:dyDescent="0.25">
      <c r="A7" s="226"/>
      <c r="B7" s="226"/>
      <c r="C7" s="226"/>
      <c r="D7" s="226"/>
      <c r="E7" s="231"/>
      <c r="F7" s="226"/>
      <c r="G7" s="226"/>
      <c r="H7" s="226"/>
      <c r="I7" s="36" t="str">
        <f>"bis"&amp;CHAR(10)&amp;Überblick!E20</f>
        <v>bis
2025</v>
      </c>
      <c r="J7" s="36" t="str">
        <f>"bis"&amp;CHAR(10)&amp;Überblick!F20</f>
        <v>bis
2028</v>
      </c>
      <c r="K7" s="36" t="str">
        <f>"bis"&amp;CHAR(10)&amp;Überblick!G20</f>
        <v>bis
2032</v>
      </c>
    </row>
    <row r="8" spans="1:15" ht="50.1" customHeight="1" x14ac:dyDescent="0.25">
      <c r="A8" s="67" t="s">
        <v>40</v>
      </c>
      <c r="B8" s="55"/>
      <c r="C8" s="56"/>
      <c r="D8" s="56"/>
      <c r="E8" s="56"/>
      <c r="F8" s="56"/>
      <c r="G8" s="56"/>
      <c r="H8" s="56"/>
      <c r="I8" s="58"/>
      <c r="J8" s="58"/>
      <c r="K8" s="58"/>
    </row>
    <row r="9" spans="1:15" ht="50.1" customHeight="1" x14ac:dyDescent="0.25">
      <c r="A9" s="67" t="s">
        <v>41</v>
      </c>
      <c r="B9" s="59"/>
      <c r="C9" s="60"/>
      <c r="D9" s="60"/>
      <c r="E9" s="60"/>
      <c r="F9" s="56"/>
      <c r="G9" s="60"/>
      <c r="H9" s="60"/>
      <c r="I9" s="58"/>
      <c r="J9" s="58"/>
      <c r="K9" s="58"/>
    </row>
    <row r="10" spans="1:15" ht="50.1" customHeight="1" x14ac:dyDescent="0.25">
      <c r="A10" s="67" t="s">
        <v>42</v>
      </c>
      <c r="B10" s="59"/>
      <c r="C10" s="60"/>
      <c r="D10" s="60"/>
      <c r="E10" s="60"/>
      <c r="F10" s="56"/>
      <c r="G10" s="60"/>
      <c r="H10" s="60"/>
      <c r="I10" s="58"/>
      <c r="J10" s="58"/>
      <c r="K10" s="58"/>
    </row>
    <row r="11" spans="1:15" ht="50.1" customHeight="1" x14ac:dyDescent="0.25">
      <c r="A11" s="67" t="s">
        <v>43</v>
      </c>
      <c r="B11" s="59"/>
      <c r="C11" s="60"/>
      <c r="D11" s="60"/>
      <c r="E11" s="60"/>
      <c r="F11" s="56"/>
      <c r="G11" s="60"/>
      <c r="H11" s="60"/>
      <c r="I11" s="58"/>
      <c r="J11" s="58"/>
      <c r="K11" s="58"/>
    </row>
    <row r="12" spans="1:15" ht="50.1" customHeight="1" x14ac:dyDescent="0.25">
      <c r="A12" s="68" t="s">
        <v>44</v>
      </c>
      <c r="B12" s="59"/>
      <c r="C12" s="60"/>
      <c r="D12" s="60"/>
      <c r="E12" s="60"/>
      <c r="F12" s="56"/>
      <c r="G12" s="60"/>
      <c r="H12" s="60"/>
      <c r="I12" s="58"/>
      <c r="J12" s="58"/>
      <c r="K12" s="58"/>
    </row>
    <row r="13" spans="1:15" ht="24" customHeight="1" x14ac:dyDescent="0.25">
      <c r="A13" s="44"/>
      <c r="B13" s="33"/>
      <c r="C13" s="32"/>
      <c r="D13" s="32"/>
      <c r="E13" s="33"/>
      <c r="F13" s="32"/>
      <c r="G13" s="32"/>
      <c r="H13" s="31" t="s">
        <v>7</v>
      </c>
      <c r="I13" s="43">
        <f>SUM(I8:I12)</f>
        <v>0</v>
      </c>
      <c r="J13" s="43">
        <f>SUM(J8:J12)</f>
        <v>0</v>
      </c>
      <c r="K13" s="43">
        <f>SUM(K8:K12)</f>
        <v>0</v>
      </c>
    </row>
    <row r="14" spans="1:15" x14ac:dyDescent="0.25">
      <c r="O14" s="182"/>
    </row>
    <row r="15" spans="1:15" ht="15.75" x14ac:dyDescent="0.25">
      <c r="O15" s="183"/>
    </row>
    <row r="16" spans="1:15" x14ac:dyDescent="0.25">
      <c r="O16" s="184"/>
    </row>
    <row r="17" spans="15:15" x14ac:dyDescent="0.25">
      <c r="O17" s="185"/>
    </row>
    <row r="18" spans="15:15" x14ac:dyDescent="0.25">
      <c r="O18" s="184"/>
    </row>
    <row r="19" spans="15:15" x14ac:dyDescent="0.25">
      <c r="O19" s="185"/>
    </row>
    <row r="20" spans="15:15" x14ac:dyDescent="0.25">
      <c r="O20" s="184"/>
    </row>
    <row r="21" spans="15:15" x14ac:dyDescent="0.25">
      <c r="O21" s="185"/>
    </row>
  </sheetData>
  <sheetProtection sheet="1" objects="1" scenarios="1" selectLockedCells="1"/>
  <mergeCells count="9">
    <mergeCell ref="G6:G7"/>
    <mergeCell ref="H6:H7"/>
    <mergeCell ref="I6:K6"/>
    <mergeCell ref="A6:A7"/>
    <mergeCell ref="B6:B7"/>
    <mergeCell ref="C6:C7"/>
    <mergeCell ref="D6:D7"/>
    <mergeCell ref="E6:E7"/>
    <mergeCell ref="F6:F7"/>
  </mergeCells>
  <conditionalFormatting sqref="F8:F12">
    <cfRule type="containsText" dxfId="80" priority="1" operator="containsText" text="Umsetzung nicht möglich">
      <formula>NOT(ISERROR(SEARCH("Umsetzung nicht möglich",F8)))</formula>
    </cfRule>
    <cfRule type="containsText" dxfId="79" priority="2" operator="containsText" text="bisher nicht umgesetzt">
      <formula>NOT(ISERROR(SEARCH("bisher nicht umgesetzt",F8)))</formula>
    </cfRule>
    <cfRule type="containsText" dxfId="78" priority="3" operator="containsText" text="zukünftiger Termin">
      <formula>NOT(ISERROR(SEARCH("zukünftiger Termin",F8)))</formula>
    </cfRule>
    <cfRule type="containsText" dxfId="77" priority="4" operator="containsText" text="In Umsetzung (Ende)">
      <formula>NOT(ISERROR(SEARCH("In Umsetzung (Ende)",F8)))</formula>
    </cfRule>
    <cfRule type="containsText" dxfId="76" priority="5" operator="containsText" text="In Umsetzung (Mitte)">
      <formula>NOT(ISERROR(SEARCH("In Umsetzung (Mitte)",F8)))</formula>
    </cfRule>
    <cfRule type="containsText" dxfId="75" priority="6" operator="containsText" text="In Umsetzung (Anfang)">
      <formula>NOT(ISERROR(SEARCH("In Umsetzung (Anfang)",F8)))</formula>
    </cfRule>
    <cfRule type="containsText" dxfId="74" priority="7" operator="containsText" text="umgesetzt">
      <formula>NOT(ISERROR(SEARCH("umgesetzt",F8)))</formula>
    </cfRule>
  </conditionalFormatting>
  <conditionalFormatting sqref="F10">
    <cfRule type="containsText" dxfId="73" priority="8" operator="containsText" text="Umsetzung nicht möglich">
      <formula>NOT(ISERROR(SEARCH("Umsetzung nicht möglich",F10)))</formula>
    </cfRule>
  </conditionalFormatting>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500-000000000000}">
          <x14:formula1>
            <xm:f>Schlüsselprojekt!$A$1:$A$2</xm:f>
          </x14:formula1>
          <xm:sqref>D8:D12</xm:sqref>
        </x14:dataValidation>
        <x14:dataValidation type="list" allowBlank="1" showInputMessage="1" showErrorMessage="1" xr:uid="{00000000-0002-0000-0500-000001000000}">
          <x14:formula1>
            <xm:f>Status!$A$2:$A$10</xm:f>
          </x14:formula1>
          <xm:sqref>F8:F12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rgb="FFEF6D27"/>
  </sheetPr>
  <dimension ref="A1:O31"/>
  <sheetViews>
    <sheetView showGridLines="0" zoomScale="80" zoomScaleNormal="80" workbookViewId="0">
      <selection activeCell="A8" sqref="A8"/>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s>
  <sheetData>
    <row r="1" spans="1:15" ht="15" customHeight="1" x14ac:dyDescent="0.25"/>
    <row r="2" spans="1:15" ht="15" customHeight="1" x14ac:dyDescent="0.25"/>
    <row r="3" spans="1:15" ht="15" customHeight="1" x14ac:dyDescent="0.25">
      <c r="O3" s="151"/>
    </row>
    <row r="4" spans="1:15" ht="15" customHeight="1" x14ac:dyDescent="0.25"/>
    <row r="5" spans="1:15" ht="15" customHeight="1" x14ac:dyDescent="0.25"/>
    <row r="6" spans="1:15" ht="30" customHeight="1" x14ac:dyDescent="0.25">
      <c r="A6" s="232" t="s">
        <v>4</v>
      </c>
      <c r="B6" s="232" t="s">
        <v>3</v>
      </c>
      <c r="C6" s="232" t="s">
        <v>9</v>
      </c>
      <c r="D6" s="232" t="s">
        <v>6</v>
      </c>
      <c r="E6" s="232" t="s">
        <v>88</v>
      </c>
      <c r="F6" s="232" t="s">
        <v>5</v>
      </c>
      <c r="G6" s="232" t="s">
        <v>78</v>
      </c>
      <c r="H6" s="232" t="s">
        <v>8</v>
      </c>
      <c r="I6" s="233" t="s">
        <v>91</v>
      </c>
      <c r="J6" s="234"/>
      <c r="K6" s="235"/>
    </row>
    <row r="7" spans="1:15" ht="30" customHeight="1" x14ac:dyDescent="0.25">
      <c r="A7" s="232"/>
      <c r="B7" s="232"/>
      <c r="C7" s="232"/>
      <c r="D7" s="232"/>
      <c r="E7" s="232"/>
      <c r="F7" s="232"/>
      <c r="G7" s="232"/>
      <c r="H7" s="232"/>
      <c r="I7" s="35" t="str">
        <f>"bis"&amp;CHAR(10)
&amp;Überblick!E20</f>
        <v>bis
2025</v>
      </c>
      <c r="J7" s="35" t="str">
        <f>"bis"&amp;CHAR(10)
&amp;Überblick!F20</f>
        <v>bis
2028</v>
      </c>
      <c r="K7" s="35" t="str">
        <f>"bis"&amp;CHAR(10)
&amp;Überblick!G20</f>
        <v>bis
2032</v>
      </c>
    </row>
    <row r="8" spans="1:15" ht="50.1" customHeight="1" x14ac:dyDescent="0.25">
      <c r="A8" s="65" t="s">
        <v>35</v>
      </c>
      <c r="B8" s="55"/>
      <c r="C8" s="56"/>
      <c r="D8" s="56"/>
      <c r="E8" s="56"/>
      <c r="F8" s="56"/>
      <c r="G8" s="56"/>
      <c r="H8" s="56"/>
      <c r="I8" s="168"/>
      <c r="J8" s="168"/>
      <c r="K8" s="168"/>
    </row>
    <row r="9" spans="1:15" ht="50.1" customHeight="1" x14ac:dyDescent="0.25">
      <c r="A9" s="65" t="s">
        <v>36</v>
      </c>
      <c r="B9" s="59"/>
      <c r="C9" s="60"/>
      <c r="D9" s="60"/>
      <c r="E9" s="60"/>
      <c r="F9" s="56"/>
      <c r="G9" s="60"/>
      <c r="H9" s="60"/>
      <c r="I9" s="168"/>
      <c r="J9" s="168"/>
      <c r="K9" s="168"/>
    </row>
    <row r="10" spans="1:15" ht="50.1" customHeight="1" x14ac:dyDescent="0.25">
      <c r="A10" s="65" t="s">
        <v>37</v>
      </c>
      <c r="B10" s="59"/>
      <c r="C10" s="60"/>
      <c r="D10" s="60"/>
      <c r="E10" s="60"/>
      <c r="F10" s="56"/>
      <c r="G10" s="60"/>
      <c r="H10" s="60"/>
      <c r="I10" s="168"/>
      <c r="J10" s="168"/>
      <c r="K10" s="168"/>
    </row>
    <row r="11" spans="1:15" ht="50.1" customHeight="1" x14ac:dyDescent="0.25">
      <c r="A11" s="65" t="s">
        <v>38</v>
      </c>
      <c r="B11" s="59"/>
      <c r="C11" s="60"/>
      <c r="D11" s="60"/>
      <c r="E11" s="60"/>
      <c r="F11" s="56"/>
      <c r="G11" s="60"/>
      <c r="H11" s="60"/>
      <c r="I11" s="168"/>
      <c r="J11" s="168"/>
      <c r="K11" s="168"/>
    </row>
    <row r="12" spans="1:15" ht="50.1" customHeight="1" x14ac:dyDescent="0.25">
      <c r="A12" s="66" t="s">
        <v>39</v>
      </c>
      <c r="B12" s="59"/>
      <c r="C12" s="60"/>
      <c r="D12" s="60"/>
      <c r="E12" s="60"/>
      <c r="F12" s="56"/>
      <c r="G12" s="60"/>
      <c r="H12" s="60"/>
      <c r="I12" s="168"/>
      <c r="J12" s="168"/>
      <c r="K12" s="168"/>
    </row>
    <row r="13" spans="1:15" ht="24" customHeight="1" x14ac:dyDescent="0.25">
      <c r="A13" s="44"/>
      <c r="B13" s="33"/>
      <c r="C13" s="32"/>
      <c r="D13" s="32"/>
      <c r="E13" s="33"/>
      <c r="F13" s="32"/>
      <c r="G13" s="32"/>
      <c r="H13" s="31" t="s">
        <v>7</v>
      </c>
      <c r="I13" s="43">
        <f>SUM(I8:I12)</f>
        <v>0</v>
      </c>
      <c r="J13" s="43">
        <f>SUM(J8:J12)</f>
        <v>0</v>
      </c>
      <c r="K13" s="43">
        <f>SUM(K8:K12)</f>
        <v>0</v>
      </c>
    </row>
    <row r="16" spans="1:15" x14ac:dyDescent="0.25">
      <c r="N16" s="17"/>
    </row>
    <row r="17" spans="14:14" x14ac:dyDescent="0.25">
      <c r="N17" s="17"/>
    </row>
    <row r="18" spans="14:14" x14ac:dyDescent="0.25">
      <c r="N18" s="17"/>
    </row>
    <row r="19" spans="14:14" x14ac:dyDescent="0.25">
      <c r="N19" s="17"/>
    </row>
    <row r="20" spans="14:14" x14ac:dyDescent="0.25">
      <c r="N20" s="17"/>
    </row>
    <row r="21" spans="14:14" x14ac:dyDescent="0.25">
      <c r="N21" s="17"/>
    </row>
    <row r="22" spans="14:14" x14ac:dyDescent="0.25">
      <c r="N22" s="17"/>
    </row>
    <row r="23" spans="14:14" x14ac:dyDescent="0.25">
      <c r="N23" s="17"/>
    </row>
    <row r="24" spans="14:14" x14ac:dyDescent="0.25">
      <c r="N24" s="17"/>
    </row>
    <row r="25" spans="14:14" x14ac:dyDescent="0.25">
      <c r="N25" s="150"/>
    </row>
    <row r="26" spans="14:14" x14ac:dyDescent="0.25">
      <c r="N26" s="17"/>
    </row>
    <row r="27" spans="14:14" x14ac:dyDescent="0.25">
      <c r="N27" s="17"/>
    </row>
    <row r="28" spans="14:14" x14ac:dyDescent="0.25">
      <c r="N28" s="17"/>
    </row>
    <row r="29" spans="14:14" x14ac:dyDescent="0.25">
      <c r="N29" s="17"/>
    </row>
    <row r="30" spans="14:14" x14ac:dyDescent="0.25">
      <c r="N30" s="17"/>
    </row>
    <row r="31" spans="14:14" x14ac:dyDescent="0.25">
      <c r="N31" s="17"/>
    </row>
  </sheetData>
  <sheetProtection sheet="1" objects="1" scenarios="1" selectLockedCells="1"/>
  <sortState xmlns:xlrd2="http://schemas.microsoft.com/office/spreadsheetml/2017/richdata2" ref="N16:N31">
    <sortCondition ref="N16:N31"/>
  </sortState>
  <mergeCells count="9">
    <mergeCell ref="G6:G7"/>
    <mergeCell ref="H6:H7"/>
    <mergeCell ref="I6:K6"/>
    <mergeCell ref="A6:A7"/>
    <mergeCell ref="B6:B7"/>
    <mergeCell ref="C6:C7"/>
    <mergeCell ref="D6:D7"/>
    <mergeCell ref="E6:E7"/>
    <mergeCell ref="F6:F7"/>
  </mergeCells>
  <conditionalFormatting sqref="F8:F12">
    <cfRule type="containsText" dxfId="72" priority="1" operator="containsText" text="Umsetzung nicht möglich">
      <formula>NOT(ISERROR(SEARCH("Umsetzung nicht möglich",F8)))</formula>
    </cfRule>
    <cfRule type="containsText" dxfId="71" priority="2" operator="containsText" text="bisher nicht umgesetzt">
      <formula>NOT(ISERROR(SEARCH("bisher nicht umgesetzt",F8)))</formula>
    </cfRule>
    <cfRule type="containsText" dxfId="70" priority="3" operator="containsText" text="zukünftiger Termin">
      <formula>NOT(ISERROR(SEARCH("zukünftiger Termin",F8)))</formula>
    </cfRule>
    <cfRule type="containsText" dxfId="69" priority="4" operator="containsText" text="In Umsetzung (Ende)">
      <formula>NOT(ISERROR(SEARCH("In Umsetzung (Ende)",F8)))</formula>
    </cfRule>
    <cfRule type="containsText" dxfId="68" priority="5" operator="containsText" text="In Umsetzung (Mitte)">
      <formula>NOT(ISERROR(SEARCH("In Umsetzung (Mitte)",F8)))</formula>
    </cfRule>
    <cfRule type="containsText" dxfId="67" priority="6" operator="containsText" text="In Umsetzung (Anfang)">
      <formula>NOT(ISERROR(SEARCH("In Umsetzung (Anfang)",F8)))</formula>
    </cfRule>
    <cfRule type="containsText" dxfId="66" priority="7" operator="containsText" text="umgesetzt">
      <formula>NOT(ISERROR(SEARCH("umgesetzt",F8)))</formula>
    </cfRule>
  </conditionalFormatting>
  <conditionalFormatting sqref="F10">
    <cfRule type="containsText" dxfId="65" priority="8" operator="containsText" text="Umsetzung nicht möglich">
      <formula>NOT(ISERROR(SEARCH("Umsetzung nicht möglich",F10)))</formula>
    </cfRule>
  </conditionalFormatting>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Status!$A$2:$A$10</xm:f>
          </x14:formula1>
          <xm:sqref>F8:F12</xm:sqref>
        </x14:dataValidation>
        <x14:dataValidation type="list" allowBlank="1" showInputMessage="1" showErrorMessage="1" xr:uid="{00000000-0002-0000-0400-000001000000}">
          <x14:formula1>
            <xm:f>Schlüsselprojekt!$A$1:$A$2</xm:f>
          </x14:formula1>
          <xm:sqref>D8:D12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rgb="FF1F324F"/>
  </sheetPr>
  <dimension ref="A6:P26"/>
  <sheetViews>
    <sheetView showGridLines="0" zoomScale="80" zoomScaleNormal="80" workbookViewId="0">
      <selection activeCell="A8" sqref="A8"/>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 min="13" max="13" width="70.7109375" customWidth="1"/>
    <col min="14" max="14" width="39.7109375" bestFit="1" customWidth="1"/>
    <col min="15" max="15" width="28.42578125" bestFit="1" customWidth="1"/>
    <col min="16" max="16" width="34.7109375" customWidth="1"/>
  </cols>
  <sheetData>
    <row r="6" spans="1:16" ht="30" customHeight="1" x14ac:dyDescent="0.25">
      <c r="A6" s="239" t="s">
        <v>4</v>
      </c>
      <c r="B6" s="239" t="s">
        <v>3</v>
      </c>
      <c r="C6" s="239" t="s">
        <v>9</v>
      </c>
      <c r="D6" s="239" t="s">
        <v>6</v>
      </c>
      <c r="E6" s="239" t="s">
        <v>88</v>
      </c>
      <c r="F6" s="239" t="s">
        <v>5</v>
      </c>
      <c r="G6" s="239" t="s">
        <v>10</v>
      </c>
      <c r="H6" s="239" t="s">
        <v>8</v>
      </c>
      <c r="I6" s="240" t="s">
        <v>91</v>
      </c>
      <c r="J6" s="241"/>
      <c r="K6" s="242"/>
      <c r="M6" s="236" t="s">
        <v>667</v>
      </c>
      <c r="N6" s="237" t="s">
        <v>668</v>
      </c>
      <c r="O6" s="238" t="s">
        <v>95</v>
      </c>
      <c r="P6" s="238" t="s">
        <v>91</v>
      </c>
    </row>
    <row r="7" spans="1:16" ht="30" customHeight="1" x14ac:dyDescent="0.25">
      <c r="A7" s="239"/>
      <c r="B7" s="239"/>
      <c r="C7" s="239"/>
      <c r="D7" s="239"/>
      <c r="E7" s="239"/>
      <c r="F7" s="239"/>
      <c r="G7" s="239"/>
      <c r="H7" s="239"/>
      <c r="I7" s="37" t="str">
        <f>"bis"&amp;CHAR(10)&amp;Überblick!E20</f>
        <v>bis
2025</v>
      </c>
      <c r="J7" s="37" t="str">
        <f>"bis"&amp;CHAR(10)&amp;Überblick!F20</f>
        <v>bis
2028</v>
      </c>
      <c r="K7" s="37" t="str">
        <f>"bis"&amp;CHAR(10)&amp;Überblick!G20</f>
        <v>bis
2032</v>
      </c>
      <c r="M7" s="236"/>
      <c r="N7" s="237"/>
      <c r="O7" s="238"/>
      <c r="P7" s="238"/>
    </row>
    <row r="8" spans="1:16" ht="50.1" customHeight="1" x14ac:dyDescent="0.25">
      <c r="A8" s="69" t="s">
        <v>45</v>
      </c>
      <c r="B8" s="55"/>
      <c r="C8" s="56"/>
      <c r="D8" s="56"/>
      <c r="E8" s="56"/>
      <c r="F8" s="56"/>
      <c r="G8" s="56"/>
      <c r="H8" s="56"/>
      <c r="I8" s="58"/>
      <c r="J8" s="58"/>
      <c r="K8" s="58"/>
      <c r="M8" s="167" t="s">
        <v>552</v>
      </c>
      <c r="N8" s="169">
        <v>100000</v>
      </c>
      <c r="O8" s="170"/>
      <c r="P8" s="144">
        <f>IF(M8="Schülerfahrten: Flugreise durch Busreise ersetzen (bei gleicher Streckenlänge)",N8*Faktoren!$E$42,0)+IF(M8="Schülerfahrten: Flugreise durch Bahnreise ersetzen (bei gleicher Streckenlänge)",N8*Faktoren!$E$43,0)</f>
        <v>19420</v>
      </c>
    </row>
    <row r="9" spans="1:16" ht="50.1" customHeight="1" x14ac:dyDescent="0.25">
      <c r="A9" s="69" t="s">
        <v>46</v>
      </c>
      <c r="B9" s="59"/>
      <c r="C9" s="60"/>
      <c r="D9" s="60"/>
      <c r="E9" s="60"/>
      <c r="F9" s="56"/>
      <c r="G9" s="60"/>
      <c r="H9" s="60"/>
      <c r="I9" s="58"/>
      <c r="J9" s="58"/>
      <c r="K9" s="58"/>
      <c r="M9" s="167" t="s">
        <v>553</v>
      </c>
      <c r="N9" s="169">
        <v>1000</v>
      </c>
      <c r="O9" s="170"/>
      <c r="P9" s="144">
        <f>IF(M9="Schülerfahrten: Flugreise durch Busreise ersetzen (bei gleicher Streckenlänge)",N9*Faktoren!$E$42,0)+IF(M9="Schülerfahrten: Flugreise durch Bahnreise ersetzen (bei gleicher Streckenlänge)",N9*Faktoren!$E$43,0)</f>
        <v>166.20000000000002</v>
      </c>
    </row>
    <row r="10" spans="1:16" ht="50.1" customHeight="1" x14ac:dyDescent="0.25">
      <c r="A10" s="69" t="s">
        <v>47</v>
      </c>
      <c r="B10" s="59"/>
      <c r="C10" s="60"/>
      <c r="D10" s="60"/>
      <c r="E10" s="60"/>
      <c r="F10" s="56"/>
      <c r="G10" s="60"/>
      <c r="H10" s="60"/>
      <c r="I10" s="58"/>
      <c r="J10" s="58"/>
      <c r="K10" s="58"/>
      <c r="M10" s="167" t="s">
        <v>550</v>
      </c>
      <c r="N10" s="169">
        <v>100000</v>
      </c>
      <c r="O10" s="166">
        <v>1</v>
      </c>
      <c r="P10" s="144">
        <f>IF(M10="Auto: Fahrgemeinschaften bilden",N10*O10*Faktoren!$E$36,0)+IF(M10="Auto: Fahrten mit dem Auto reduzieren",N10*O10*Faktoren!$E$37,0)+IF(M10="Auto (Verbrennungsmotor) durch e-Auto ersetzen",N10*O10*Faktoren!$E$38,0)+IF(M10="eAuto: Fahrgemeinschaften bilden",N10*O10*Faktoren!$E$39,0)+IF(M10="Flugzeug: Flugreisen reduzieren",N10*O10*Faktoren!$E$40,0)+IF(M10="Reisebus: Fahrten mit den Reisebus vermeiden",N10*O10*Faktoren!$E$41,0)</f>
        <v>23020</v>
      </c>
    </row>
    <row r="11" spans="1:16" ht="50.1" customHeight="1" x14ac:dyDescent="0.25">
      <c r="A11" s="69" t="s">
        <v>48</v>
      </c>
      <c r="B11" s="59"/>
      <c r="C11" s="60"/>
      <c r="D11" s="60"/>
      <c r="E11" s="60"/>
      <c r="F11" s="56"/>
      <c r="G11" s="60"/>
      <c r="H11" s="60"/>
      <c r="I11" s="58"/>
      <c r="J11" s="58"/>
      <c r="K11" s="58"/>
      <c r="M11" s="167"/>
      <c r="N11" s="76"/>
      <c r="O11" s="166"/>
      <c r="P11" s="144">
        <f>IF(M11="Auto: Fahrgemeinschaften bilden",N13*O11*Faktoren!$E$36,0)+IF(M11="Auto: Fahrten mit dem Auto reduzieren",N13*O11*Faktoren!$E$37,0)+IF(M11="Auto (Verbrennungsmotor) durch e-Auto ersetzen",N13*O11*Faktoren!$E$38,0)+IF(M11="eAuto: Fahrgemeinschaften bilden",N13*O11*Faktoren!$E$39,0)+IF(M11="Flugzeug: Flugreisen reduzieren",N13*O11*Faktoren!$E$40,0)+IF(M11="Reisebus: Fahrten mit den Reisebus vermeiden",N13*O11*Faktoren!$E$41,0)</f>
        <v>0</v>
      </c>
    </row>
    <row r="12" spans="1:16" ht="50.1" customHeight="1" x14ac:dyDescent="0.25">
      <c r="A12" s="70" t="s">
        <v>49</v>
      </c>
      <c r="B12" s="59"/>
      <c r="C12" s="60"/>
      <c r="D12" s="60"/>
      <c r="E12" s="60"/>
      <c r="F12" s="56"/>
      <c r="G12" s="60"/>
      <c r="H12" s="60"/>
      <c r="I12" s="58"/>
      <c r="J12" s="58"/>
      <c r="K12" s="58"/>
      <c r="M12" s="167"/>
      <c r="N12" s="169"/>
      <c r="O12" s="166"/>
      <c r="P12" s="144">
        <f>IF(M12="Auto: Fahrgemeinschaften bilden",N12*O12*Faktoren!$E$36,0)+IF(M12="Auto: Fahrten mit dem Auto reduzieren",N12*O12*Faktoren!$E$37,0)+IF(M12="Auto (Verbrennungsmotor) durch e-Auto ersetzen",N12*O12*Faktoren!$E$38,0)+IF(M12="eAuto: Fahrgemeinschaften bilden",N12*O12*Faktoren!$E$39,0)+IF(M12="Flugzeug: Flugreisen reduzieren",N12*O12*Faktoren!$E$40,0)+IF(M12="Reisebus: Fahrten mit den Reisebus vermeiden",N12*O12*Faktoren!$E$41,0)</f>
        <v>0</v>
      </c>
    </row>
    <row r="13" spans="1:16" ht="24" customHeight="1" x14ac:dyDescent="0.25">
      <c r="A13" s="44"/>
      <c r="B13" s="33"/>
      <c r="C13" s="32"/>
      <c r="D13" s="32"/>
      <c r="E13" s="33"/>
      <c r="F13" s="32"/>
      <c r="G13" s="32"/>
      <c r="H13" s="31" t="s">
        <v>7</v>
      </c>
      <c r="I13" s="43">
        <f>SUM(I8:I12)</f>
        <v>0</v>
      </c>
      <c r="J13" s="43">
        <f>SUM(J8:J12)</f>
        <v>0</v>
      </c>
      <c r="K13" s="43">
        <f>SUM(K8:K12)</f>
        <v>0</v>
      </c>
      <c r="N13" s="272"/>
    </row>
    <row r="19" spans="13:16" x14ac:dyDescent="0.25">
      <c r="M19" s="1"/>
      <c r="N19" s="135"/>
      <c r="O19" s="1"/>
      <c r="P19" s="1"/>
    </row>
    <row r="20" spans="13:16" x14ac:dyDescent="0.25">
      <c r="M20" s="80"/>
      <c r="N20" s="132"/>
      <c r="O20" s="82"/>
      <c r="P20" s="130"/>
    </row>
    <row r="21" spans="13:16" x14ac:dyDescent="0.25">
      <c r="M21" s="80"/>
      <c r="N21" s="132"/>
      <c r="O21" s="82"/>
      <c r="P21" s="130"/>
    </row>
    <row r="22" spans="13:16" x14ac:dyDescent="0.25">
      <c r="M22" s="80"/>
      <c r="N22" s="132"/>
      <c r="O22" s="82"/>
      <c r="P22" s="130"/>
    </row>
    <row r="23" spans="13:16" x14ac:dyDescent="0.25">
      <c r="M23" s="80"/>
      <c r="N23" s="132"/>
      <c r="O23" s="82"/>
      <c r="P23" s="130"/>
    </row>
    <row r="24" spans="13:16" x14ac:dyDescent="0.25">
      <c r="M24" s="80"/>
      <c r="N24" s="132"/>
      <c r="O24" s="82"/>
      <c r="P24" s="130"/>
    </row>
    <row r="25" spans="13:16" x14ac:dyDescent="0.25">
      <c r="M25" s="80"/>
      <c r="N25" s="129"/>
      <c r="O25" s="88"/>
      <c r="P25" s="130"/>
    </row>
    <row r="26" spans="13:16" x14ac:dyDescent="0.25">
      <c r="M26" s="80"/>
      <c r="N26" s="129"/>
      <c r="O26" s="88"/>
      <c r="P26" s="130"/>
    </row>
  </sheetData>
  <sheetProtection sheet="1" objects="1" scenarios="1" selectLockedCells="1"/>
  <mergeCells count="13">
    <mergeCell ref="F6:F7"/>
    <mergeCell ref="A6:A7"/>
    <mergeCell ref="B6:B7"/>
    <mergeCell ref="C6:C7"/>
    <mergeCell ref="D6:D7"/>
    <mergeCell ref="E6:E7"/>
    <mergeCell ref="M6:M7"/>
    <mergeCell ref="N6:N7"/>
    <mergeCell ref="O6:O7"/>
    <mergeCell ref="P6:P7"/>
    <mergeCell ref="G6:G7"/>
    <mergeCell ref="H6:H7"/>
    <mergeCell ref="I6:K6"/>
  </mergeCells>
  <conditionalFormatting sqref="F8:F12">
    <cfRule type="containsText" dxfId="64" priority="13" operator="containsText" text="Umsetzung nicht möglich">
      <formula>NOT(ISERROR(SEARCH("Umsetzung nicht möglich",F8)))</formula>
    </cfRule>
    <cfRule type="containsText" dxfId="63" priority="14" operator="containsText" text="bisher nicht umgesetzt">
      <formula>NOT(ISERROR(SEARCH("bisher nicht umgesetzt",F8)))</formula>
    </cfRule>
    <cfRule type="containsText" dxfId="62" priority="15" operator="containsText" text="zukünftiger Termin">
      <formula>NOT(ISERROR(SEARCH("zukünftiger Termin",F8)))</formula>
    </cfRule>
    <cfRule type="containsText" dxfId="61" priority="16" operator="containsText" text="In Umsetzung (Ende)">
      <formula>NOT(ISERROR(SEARCH("In Umsetzung (Ende)",F8)))</formula>
    </cfRule>
    <cfRule type="containsText" dxfId="60" priority="17" operator="containsText" text="In Umsetzung (Mitte)">
      <formula>NOT(ISERROR(SEARCH("In Umsetzung (Mitte)",F8)))</formula>
    </cfRule>
    <cfRule type="containsText" dxfId="59" priority="18" operator="containsText" text="In Umsetzung (Anfang)">
      <formula>NOT(ISERROR(SEARCH("In Umsetzung (Anfang)",F8)))</formula>
    </cfRule>
    <cfRule type="containsText" dxfId="58" priority="19" operator="containsText" text="umgesetzt">
      <formula>NOT(ISERROR(SEARCH("umgesetzt",F8)))</formula>
    </cfRule>
  </conditionalFormatting>
  <conditionalFormatting sqref="F10">
    <cfRule type="containsText" dxfId="57" priority="20" operator="containsText" text="Umsetzung nicht möglich">
      <formula>NOT(ISERROR(SEARCH("Umsetzung nicht möglich",F10)))</formula>
    </cfRule>
  </conditionalFormatting>
  <dataValidations disablePrompts="1" count="2">
    <dataValidation type="list" allowBlank="1" showInputMessage="1" showErrorMessage="1" sqref="O20:O26" xr:uid="{65E00BE5-D391-44D0-B517-A0B34C6C0AEC}">
      <formula1>"10 %, 20 %, 30%, 40 %, 50 %, 60%, 70 %, 80 %, 90 %, 100 %"</formula1>
    </dataValidation>
    <dataValidation type="list" allowBlank="1" showInputMessage="1" showErrorMessage="1" sqref="O10:O12" xr:uid="{4E1CE53C-810E-4EE7-BE44-255DFAC64E67}">
      <formula1>"10 %, 20 %, 30 %, 40 %, 50 %, 60 %, 70 %, 80 %, 90 %, 100 %"</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600-000000000000}">
          <x14:formula1>
            <xm:f>Status!$A$2:$A$10</xm:f>
          </x14:formula1>
          <xm:sqref>F8:F12</xm:sqref>
        </x14:dataValidation>
        <x14:dataValidation type="list" allowBlank="1" showInputMessage="1" showErrorMessage="1" xr:uid="{00000000-0002-0000-0600-000001000000}">
          <x14:formula1>
            <xm:f>Schlüsselprojekt!$A$1:$A$2</xm:f>
          </x14:formula1>
          <xm:sqref>D8:D12</xm:sqref>
        </x14:dataValidation>
        <x14:dataValidation type="list" allowBlank="1" showInputMessage="1" showErrorMessage="1" xr:uid="{0C6B98B1-CE48-4347-822F-3A0E4B1D478E}">
          <x14:formula1>
            <xm:f>Faktoren!$C$36:$C$41</xm:f>
          </x14:formula1>
          <xm:sqref>M10:M12</xm:sqref>
        </x14:dataValidation>
        <x14:dataValidation type="list" allowBlank="1" showInputMessage="1" showErrorMessage="1" xr:uid="{D504AC97-F533-40D1-B1BB-63F99F52A51B}">
          <x14:formula1>
            <xm:f>Faktoren!$C$42:$C$43</xm:f>
          </x14:formula1>
          <xm:sqref>M8:M9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tabColor rgb="FFF5C332"/>
  </sheetPr>
  <dimension ref="A1:P30"/>
  <sheetViews>
    <sheetView showGridLines="0" topLeftCell="B1" zoomScale="80" zoomScaleNormal="80" workbookViewId="0">
      <selection activeCell="O30" sqref="O30"/>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 min="13" max="13" width="70.7109375" customWidth="1"/>
    <col min="14" max="14" width="39.7109375" customWidth="1"/>
    <col min="15" max="15" width="28.42578125" customWidth="1"/>
    <col min="16" max="16" width="34.7109375" customWidth="1"/>
  </cols>
  <sheetData>
    <row r="1" spans="1:16" ht="15" customHeight="1" x14ac:dyDescent="0.25"/>
    <row r="2" spans="1:16" ht="15" customHeight="1" x14ac:dyDescent="0.25"/>
    <row r="3" spans="1:16" ht="15" customHeight="1" x14ac:dyDescent="0.25"/>
    <row r="4" spans="1:16" ht="15" customHeight="1" x14ac:dyDescent="0.25"/>
    <row r="5" spans="1:16" ht="15" customHeight="1" x14ac:dyDescent="0.25"/>
    <row r="6" spans="1:16" ht="30" customHeight="1" x14ac:dyDescent="0.25">
      <c r="A6" s="243" t="s">
        <v>4</v>
      </c>
      <c r="B6" s="243" t="s">
        <v>3</v>
      </c>
      <c r="C6" s="243" t="s">
        <v>9</v>
      </c>
      <c r="D6" s="243" t="s">
        <v>6</v>
      </c>
      <c r="E6" s="243" t="s">
        <v>88</v>
      </c>
      <c r="F6" s="243" t="s">
        <v>5</v>
      </c>
      <c r="G6" s="243" t="s">
        <v>10</v>
      </c>
      <c r="H6" s="243" t="s">
        <v>8</v>
      </c>
      <c r="I6" s="252" t="s">
        <v>528</v>
      </c>
      <c r="J6" s="253"/>
      <c r="K6" s="254"/>
      <c r="M6" s="244" t="s">
        <v>667</v>
      </c>
      <c r="N6" s="246" t="s">
        <v>664</v>
      </c>
      <c r="O6" s="248" t="s">
        <v>95</v>
      </c>
      <c r="P6" s="250" t="s">
        <v>91</v>
      </c>
    </row>
    <row r="7" spans="1:16" ht="30" customHeight="1" x14ac:dyDescent="0.25">
      <c r="A7" s="243"/>
      <c r="B7" s="243"/>
      <c r="C7" s="243"/>
      <c r="D7" s="243"/>
      <c r="E7" s="243"/>
      <c r="F7" s="243"/>
      <c r="G7" s="243"/>
      <c r="H7" s="243"/>
      <c r="I7" s="38" t="str">
        <f>"bis"&amp;CHAR(10)&amp;Überblick!E20</f>
        <v>bis
2025</v>
      </c>
      <c r="J7" s="38" t="str">
        <f>"bis"&amp;CHAR(10)&amp;Überblick!F20</f>
        <v>bis
2028</v>
      </c>
      <c r="K7" s="38" t="str">
        <f>"bis"&amp;CHAR(10)&amp;Überblick!G20</f>
        <v>bis
2032</v>
      </c>
      <c r="M7" s="245"/>
      <c r="N7" s="247"/>
      <c r="O7" s="249"/>
      <c r="P7" s="251"/>
    </row>
    <row r="8" spans="1:16" ht="50.1" customHeight="1" x14ac:dyDescent="0.25">
      <c r="A8" s="71" t="s">
        <v>50</v>
      </c>
      <c r="B8" s="55"/>
      <c r="C8" s="56"/>
      <c r="D8" s="56"/>
      <c r="E8" s="56"/>
      <c r="F8" s="56"/>
      <c r="G8" s="56"/>
      <c r="H8" s="56"/>
      <c r="I8" s="58"/>
      <c r="J8" s="58"/>
      <c r="K8" s="58"/>
      <c r="M8" s="171" t="s">
        <v>557</v>
      </c>
      <c r="N8" s="172">
        <v>20000</v>
      </c>
      <c r="O8" s="174"/>
      <c r="P8" s="144">
        <f>IF(M8="Wechsel des Stromtarifs: Dt. Strommix zu Ökostrom ohne Neuanlagenförderung",N8*Faktoren!$E$45,0)+IF(M8="Wechsel des Stromtarifs: Dt. Strommix zu Ökostrom mit Neuanlagenförderung",N8*Faktoren!$E$46,0)+IF(M8="Wechsel des Stromtarifs: Ökostrom ohne Neuanlagenförderung zu Ökostrom mit Neuanlagenförderung",N8*Faktoren!$E$47,0)</f>
        <v>7480</v>
      </c>
    </row>
    <row r="9" spans="1:16" ht="50.1" customHeight="1" x14ac:dyDescent="0.25">
      <c r="A9" s="71" t="s">
        <v>51</v>
      </c>
      <c r="B9" s="59"/>
      <c r="C9" s="60"/>
      <c r="D9" s="60"/>
      <c r="E9" s="60"/>
      <c r="F9" s="56"/>
      <c r="G9" s="60"/>
      <c r="H9" s="60"/>
      <c r="I9" s="58"/>
      <c r="J9" s="58"/>
      <c r="K9" s="58"/>
      <c r="M9" s="167" t="s">
        <v>530</v>
      </c>
      <c r="N9" s="173">
        <v>140000</v>
      </c>
      <c r="O9" s="166">
        <v>0.1</v>
      </c>
      <c r="P9" s="144">
        <f>IF(M9="Strom sparen (Tarifart: Dt. Strommix oder Ökostrom ohne Neuanlagenförderung)",N9*O9*Faktoren!$E$48,0)+IF(M9="Strom sparen (Ökostrom mit Neuanlagenförderung)",N9*O9*Faktoren!$E$48,0)*IF(M9="PV-Anlage: Selbst produzierten Strom verwenden (Eigenstromverbrauch erhöhen; Stromtarif der Schule ist dt. Strommix)",N9*O9*Faktoren!$E$49,0)+IF(M9="PV-Anlage: Selbst produzierten Strom verwenden (Eigenstromverbrauch erhöhen; Stromtarif der Schule ist dt. Strommix oder Ökostrom ohne Neuanlagenförderung)",N9*O9*Faktoren!$E$50,0)+IF(M9="PV-Anlage: Selbst produzierten Strom verwenden (Eigenstromverbrauch erhöhen; Stromtarif der Schule ist Ökostrom mit Neuanlagenförderung)",N9*O9*Faktoren!$E$51,0)</f>
        <v>6132</v>
      </c>
    </row>
    <row r="10" spans="1:16" ht="50.1" customHeight="1" x14ac:dyDescent="0.25">
      <c r="A10" s="71" t="s">
        <v>52</v>
      </c>
      <c r="B10" s="59"/>
      <c r="C10" s="60"/>
      <c r="D10" s="60"/>
      <c r="E10" s="60"/>
      <c r="F10" s="56"/>
      <c r="G10" s="60"/>
      <c r="H10" s="60"/>
      <c r="I10" s="58"/>
      <c r="J10" s="58"/>
      <c r="K10" s="58"/>
      <c r="M10" s="167"/>
      <c r="N10" s="173"/>
      <c r="O10" s="166"/>
      <c r="P10" s="144">
        <f>IF(M10="Strom sparen (Tarifart: Dt. Strommix oder Ökostrom ohne Neuanlagenförderung)",N10*O10*Faktoren!$E$48,0)+IF(M10="Strom sparen (Ökostrom mit Neuanlagenförderung)",N10*O10*Faktoren!$E$48,0)*IF(M10="PV-Anlage: Selbst produzierten Strom verwenden (Eigenstromverbrauch erhöhen; Stromtarif der Schule ist dt. Strommix)",N10*O10*Faktoren!$E$49,0)+IF(M10="PV-Anlage: Selbst produzierten Strom verwenden (Eigenstromverbrauch erhöhen; Stromtarif der Schule ist dt. Strommix oder Ökostrom ohne Neuanlagenförderung)",N10*O10*Faktoren!$E$50,0)+IF(M10="PV-Anlage: Selbst produzierten Strom verwenden (Eigenstromverbrauch erhöhen; Stromtarif der Schule ist Ökostrom mit Neuanlagenförderung)",N10*O10*Faktoren!$E$51,0)</f>
        <v>0</v>
      </c>
    </row>
    <row r="11" spans="1:16" ht="50.1" customHeight="1" x14ac:dyDescent="0.25">
      <c r="A11" s="71" t="s">
        <v>53</v>
      </c>
      <c r="B11" s="59"/>
      <c r="C11" s="60"/>
      <c r="D11" s="60"/>
      <c r="E11" s="60"/>
      <c r="F11" s="56"/>
      <c r="G11" s="60"/>
      <c r="H11" s="60"/>
      <c r="I11" s="58"/>
      <c r="J11" s="58"/>
      <c r="K11" s="58"/>
      <c r="M11" s="167"/>
      <c r="N11" s="173"/>
      <c r="O11" s="166"/>
      <c r="P11" s="144">
        <f>IF(M11="Strom sparen (Tarifart: Dt. Strommix oder Ökostrom ohne Neuanlagenförderung)",N11*O11*Faktoren!$E$48,0)+IF(M11="Strom sparen (Ökostrom mit Neuanlagenförderung)",N11*O11*Faktoren!$E$48,0)*IF(M11="PV-Anlage: Selbst produzierten Strom verwenden (Eigenstromverbrauch erhöhen; Stromtarif der Schule ist dt. Strommix)",N11*O11*Faktoren!$E$49,0)+IF(M11="PV-Anlage: Selbst produzierten Strom verwenden (Eigenstromverbrauch erhöhen; Stromtarif der Schule ist dt. Strommix oder Ökostrom ohne Neuanlagenförderung)",N11*O11*Faktoren!$E$50,0)+IF(M11="PV-Anlage: Selbst produzierten Strom verwenden (Eigenstromverbrauch erhöhen; Stromtarif der Schule ist Ökostrom mit Neuanlagenförderung)",N11*O11*Faktoren!$E$51,0)</f>
        <v>0</v>
      </c>
    </row>
    <row r="12" spans="1:16" ht="50.1" customHeight="1" x14ac:dyDescent="0.25">
      <c r="A12" s="72" t="s">
        <v>54</v>
      </c>
      <c r="B12" s="59"/>
      <c r="C12" s="60"/>
      <c r="D12" s="60"/>
      <c r="E12" s="60"/>
      <c r="F12" s="56"/>
      <c r="G12" s="60"/>
      <c r="H12" s="60"/>
      <c r="I12" s="58"/>
      <c r="J12" s="58"/>
      <c r="K12" s="58"/>
      <c r="M12" s="167"/>
      <c r="N12" s="173"/>
      <c r="O12" s="166"/>
      <c r="P12" s="144">
        <f>IF(M12="Strom sparen (Tarifart: Dt. Strommix oder Ökostrom ohne Neuanlagenförderung)",N12*O12*Faktoren!$E$48,0)+IF(M12="Strom sparen (Ökostrom mit Neuanlagenförderung)",N12*O12*Faktoren!$E$48,0)*IF(M12="PV-Anlage: Selbst produzierten Strom verwenden (Eigenstromverbrauch erhöhen; Stromtarif der Schule ist dt. Strommix)",N12*O12*Faktoren!$E$49,0)+IF(M12="PV-Anlage: Selbst produzierten Strom verwenden (Eigenstromverbrauch erhöhen; Stromtarif der Schule ist dt. Strommix oder Ökostrom ohne Neuanlagenförderung)",N12*O12*Faktoren!$E$50,0)+IF(M12="PV-Anlage: Selbst produzierten Strom verwenden (Eigenstromverbrauch erhöhen; Stromtarif der Schule ist Ökostrom mit Neuanlagenförderung)",N12*O12*Faktoren!$E$51,0)</f>
        <v>0</v>
      </c>
    </row>
    <row r="13" spans="1:16" ht="24" customHeight="1" x14ac:dyDescent="0.25">
      <c r="A13" s="44"/>
      <c r="B13" s="33"/>
      <c r="C13" s="32"/>
      <c r="D13" s="32"/>
      <c r="E13" s="33"/>
      <c r="F13" s="32"/>
      <c r="G13" s="32"/>
      <c r="H13" s="31" t="s">
        <v>7</v>
      </c>
      <c r="I13" s="43">
        <f>SUM(I8:I12)</f>
        <v>0</v>
      </c>
      <c r="J13" s="43">
        <f>SUM(J8:J12)</f>
        <v>0</v>
      </c>
      <c r="K13" s="43">
        <f>SUM(K8:K12)</f>
        <v>0</v>
      </c>
    </row>
    <row r="24" spans="13:16" x14ac:dyDescent="0.25">
      <c r="M24" s="1"/>
      <c r="N24" s="135"/>
      <c r="O24" s="1"/>
      <c r="P24" s="1"/>
    </row>
    <row r="25" spans="13:16" x14ac:dyDescent="0.25">
      <c r="M25" s="80"/>
      <c r="N25" s="132"/>
      <c r="O25" s="82"/>
      <c r="P25" s="130"/>
    </row>
    <row r="26" spans="13:16" x14ac:dyDescent="0.25">
      <c r="M26" s="80"/>
      <c r="N26" s="132"/>
      <c r="O26" s="82"/>
      <c r="P26" s="130"/>
    </row>
    <row r="27" spans="13:16" x14ac:dyDescent="0.25">
      <c r="M27" s="80"/>
      <c r="N27" s="132"/>
      <c r="O27" s="82"/>
      <c r="P27" s="130"/>
    </row>
    <row r="28" spans="13:16" x14ac:dyDescent="0.25">
      <c r="M28" s="80"/>
      <c r="N28" s="132"/>
      <c r="O28" s="82"/>
      <c r="P28" s="130"/>
    </row>
    <row r="29" spans="13:16" x14ac:dyDescent="0.25">
      <c r="M29" s="80"/>
      <c r="N29" s="132"/>
      <c r="O29" s="82"/>
      <c r="P29" s="130"/>
    </row>
    <row r="30" spans="13:16" x14ac:dyDescent="0.25">
      <c r="M30" s="80"/>
      <c r="N30" s="129"/>
      <c r="O30" s="88"/>
      <c r="P30" s="130"/>
    </row>
  </sheetData>
  <sheetProtection sheet="1" objects="1" scenarios="1" selectLockedCells="1"/>
  <mergeCells count="13">
    <mergeCell ref="M6:M7"/>
    <mergeCell ref="N6:N7"/>
    <mergeCell ref="O6:O7"/>
    <mergeCell ref="P6:P7"/>
    <mergeCell ref="G6:G7"/>
    <mergeCell ref="H6:H7"/>
    <mergeCell ref="I6:K6"/>
    <mergeCell ref="F6:F7"/>
    <mergeCell ref="A6:A7"/>
    <mergeCell ref="B6:B7"/>
    <mergeCell ref="C6:C7"/>
    <mergeCell ref="D6:D7"/>
    <mergeCell ref="E6:E7"/>
  </mergeCells>
  <conditionalFormatting sqref="F8:F12">
    <cfRule type="containsText" dxfId="56" priority="3" operator="containsText" text="Umsetzung nicht möglich">
      <formula>NOT(ISERROR(SEARCH("Umsetzung nicht möglich",F8)))</formula>
    </cfRule>
    <cfRule type="containsText" dxfId="55" priority="4" operator="containsText" text="bisher nicht umgesetzt">
      <formula>NOT(ISERROR(SEARCH("bisher nicht umgesetzt",F8)))</formula>
    </cfRule>
    <cfRule type="containsText" dxfId="54" priority="5" operator="containsText" text="zukünftiger Termin">
      <formula>NOT(ISERROR(SEARCH("zukünftiger Termin",F8)))</formula>
    </cfRule>
    <cfRule type="containsText" dxfId="53" priority="6" operator="containsText" text="In Umsetzung (Ende)">
      <formula>NOT(ISERROR(SEARCH("In Umsetzung (Ende)",F8)))</formula>
    </cfRule>
    <cfRule type="containsText" dxfId="52" priority="7" operator="containsText" text="In Umsetzung (Mitte)">
      <formula>NOT(ISERROR(SEARCH("In Umsetzung (Mitte)",F8)))</formula>
    </cfRule>
    <cfRule type="containsText" dxfId="51" priority="8" operator="containsText" text="In Umsetzung (Anfang)">
      <formula>NOT(ISERROR(SEARCH("In Umsetzung (Anfang)",F8)))</formula>
    </cfRule>
    <cfRule type="containsText" dxfId="50" priority="9" operator="containsText" text="umgesetzt">
      <formula>NOT(ISERROR(SEARCH("umgesetzt",F8)))</formula>
    </cfRule>
  </conditionalFormatting>
  <conditionalFormatting sqref="F10">
    <cfRule type="containsText" dxfId="49" priority="10" operator="containsText" text="Umsetzung nicht möglich">
      <formula>NOT(ISERROR(SEARCH("Umsetzung nicht möglich",F10)))</formula>
    </cfRule>
  </conditionalFormatting>
  <conditionalFormatting sqref="O10">
    <cfRule type="expression" priority="1">
      <formula>IF($M$10="Wechsel des Stromtarifs: Ökostrom ohne Neuanlagenförderung zu Ökostrom mit Neuanlagenförderung",1,)</formula>
    </cfRule>
  </conditionalFormatting>
  <dataValidations count="3">
    <dataValidation type="list" allowBlank="1" showInputMessage="1" showErrorMessage="1" sqref="O25:O30" xr:uid="{F47FA98E-C41C-4B55-ACF0-17729A9CEC3A}">
      <formula1>"10 %, 20 %, 30%, 40 %, 50 %, 60%, 70 %, 80 %, 90 %, 100 %"</formula1>
    </dataValidation>
    <dataValidation type="list" allowBlank="1" showInputMessage="1" showErrorMessage="1" sqref="O10:O12" xr:uid="{10981AFD-C68F-49B1-9348-1C41165A8F6C}">
      <formula1>"10 %, 20 %, 30 %, 40 %, 50 %, 60 %, 70 %, 80 %, 90 %, 100 %"</formula1>
    </dataValidation>
    <dataValidation type="list" allowBlank="1" showInputMessage="1" showErrorMessage="1" sqref="O9" xr:uid="{F4898292-2670-47A7-82F2-6EF055D0B7FE}">
      <formula1>"5 %, 10 %, 15 %, 20 %, 25 %, 30 %, 35 %, 40 %"</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0000000}">
          <x14:formula1>
            <xm:f>Schlüsselprojekt!$A$1:$A$2</xm:f>
          </x14:formula1>
          <xm:sqref>D8:D12</xm:sqref>
        </x14:dataValidation>
        <x14:dataValidation type="list" allowBlank="1" showInputMessage="1" showErrorMessage="1" xr:uid="{00000000-0002-0000-0700-000001000000}">
          <x14:formula1>
            <xm:f>Status!$A$2:$A$10</xm:f>
          </x14:formula1>
          <xm:sqref>F8:F12</xm:sqref>
        </x14:dataValidation>
        <x14:dataValidation type="list" allowBlank="1" showInputMessage="1" showErrorMessage="1" xr:uid="{6CD577D2-F8E0-45CB-8288-E3E54C577757}">
          <x14:formula1>
            <xm:f>Faktoren!$C$45:$C$47</xm:f>
          </x14:formula1>
          <xm:sqref>M8</xm:sqref>
        </x14:dataValidation>
        <x14:dataValidation type="list" allowBlank="1" showInputMessage="1" showErrorMessage="1" xr:uid="{E1E6F923-C7D5-4C13-902B-BBED2F9F7200}">
          <x14:formula1>
            <xm:f>Faktoren!$C$48:$C$51</xm:f>
          </x14:formula1>
          <xm:sqref>M9:M12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rgb="FFEE2C24"/>
  </sheetPr>
  <dimension ref="A6:Q54"/>
  <sheetViews>
    <sheetView showGridLines="0" zoomScale="80" zoomScaleNormal="80" workbookViewId="0">
      <selection activeCell="A8" sqref="A8"/>
    </sheetView>
  </sheetViews>
  <sheetFormatPr baseColWidth="10" defaultRowHeight="15" x14ac:dyDescent="0.25"/>
  <cols>
    <col min="1" max="1" width="5.5703125" customWidth="1"/>
    <col min="2" max="2" width="19.42578125" customWidth="1"/>
    <col min="3" max="3" width="26" customWidth="1"/>
    <col min="4" max="4" width="9.85546875" customWidth="1"/>
    <col min="5" max="5" width="10.140625" customWidth="1"/>
    <col min="6" max="6" width="12.28515625" customWidth="1"/>
    <col min="7" max="7" width="12.85546875" customWidth="1"/>
    <col min="8" max="8" width="13.7109375" customWidth="1"/>
    <col min="9" max="11" width="10.7109375" customWidth="1"/>
    <col min="13" max="13" width="65.7109375" customWidth="1"/>
    <col min="14" max="14" width="35.7109375" customWidth="1"/>
    <col min="15" max="15" width="31.85546875" customWidth="1"/>
    <col min="16" max="16" width="29.140625" bestFit="1" customWidth="1"/>
    <col min="17" max="17" width="28" bestFit="1" customWidth="1"/>
  </cols>
  <sheetData>
    <row r="6" spans="1:17" ht="30" customHeight="1" x14ac:dyDescent="0.25">
      <c r="A6" s="256" t="s">
        <v>4</v>
      </c>
      <c r="B6" s="256" t="s">
        <v>3</v>
      </c>
      <c r="C6" s="256" t="s">
        <v>9</v>
      </c>
      <c r="D6" s="256" t="s">
        <v>6</v>
      </c>
      <c r="E6" s="256" t="s">
        <v>88</v>
      </c>
      <c r="F6" s="256" t="s">
        <v>5</v>
      </c>
      <c r="G6" s="256" t="s">
        <v>10</v>
      </c>
      <c r="H6" s="256" t="s">
        <v>8</v>
      </c>
      <c r="I6" s="267" t="s">
        <v>91</v>
      </c>
      <c r="J6" s="268"/>
      <c r="K6" s="269"/>
      <c r="M6" s="259" t="s">
        <v>616</v>
      </c>
      <c r="N6" s="261" t="s">
        <v>652</v>
      </c>
      <c r="O6" s="257" t="s">
        <v>615</v>
      </c>
      <c r="P6" s="263" t="s">
        <v>95</v>
      </c>
      <c r="Q6" s="265" t="s">
        <v>91</v>
      </c>
    </row>
    <row r="7" spans="1:17" ht="30" customHeight="1" x14ac:dyDescent="0.25">
      <c r="A7" s="256"/>
      <c r="B7" s="256"/>
      <c r="C7" s="256"/>
      <c r="D7" s="256"/>
      <c r="E7" s="256"/>
      <c r="F7" s="256"/>
      <c r="G7" s="256"/>
      <c r="H7" s="256"/>
      <c r="I7" s="39" t="str">
        <f>"bis"&amp;CHAR(10)&amp;Überblick!E20</f>
        <v>bis
2025</v>
      </c>
      <c r="J7" s="39" t="str">
        <f>"bis"&amp;CHAR(10)&amp;Überblick!F20</f>
        <v>bis
2028</v>
      </c>
      <c r="K7" s="39" t="str">
        <f>"bis"&amp;CHAR(10)&amp;Überblick!G20</f>
        <v>bis
2032</v>
      </c>
      <c r="M7" s="260"/>
      <c r="N7" s="262"/>
      <c r="O7" s="258"/>
      <c r="P7" s="264"/>
      <c r="Q7" s="266"/>
    </row>
    <row r="8" spans="1:17" ht="50.1" customHeight="1" x14ac:dyDescent="0.25">
      <c r="A8" s="73" t="s">
        <v>56</v>
      </c>
      <c r="B8" s="55"/>
      <c r="C8" s="56"/>
      <c r="D8" s="56"/>
      <c r="E8" s="56"/>
      <c r="F8" s="56"/>
      <c r="G8" s="56"/>
      <c r="H8" s="56"/>
      <c r="I8" s="58"/>
      <c r="J8" s="58"/>
      <c r="K8" s="58"/>
      <c r="M8" s="171" t="s">
        <v>612</v>
      </c>
      <c r="N8" s="172">
        <v>100000</v>
      </c>
      <c r="O8" s="175" t="s">
        <v>318</v>
      </c>
      <c r="P8" s="176" t="s">
        <v>663</v>
      </c>
      <c r="Q8" s="145">
        <f>IF(AND(O8="Biogas",P8="Absenkung um 1°C"),N8*0.06*Faktoren!$E$124,IF(AND(O8="Biogas",P8="Absenkung um 2°C"),N8*0.12*Faktoren!$E$124,IF(AND(O8="Biogas",P8="Absenkung um 3°C"),N8*0.18*Faktoren!$E$124,IF(AND(O8="Biogas",P8="Absenkung um 4°C"),N8*0.24*Faktoren!$E$124,0))))+IF(AND(O8="Biomasse: Hackschnitzel",P8="Absenkung um 1°C"),N8/0.75*0.06*Faktoren!$E$125,IF(AND(O8="Biomasse: Hackschnitzel",P8="Absenkung um 2°C"),N8*0.75*0.12*Faktoren!$E$125,IF(AND(O8="Biomasse: Hackschnitzel",P8="Absenkung um 3°C"),N8/0.75*0.18*Faktoren!$E$125,IF(AND(O8="Biomasse: Hackschnitzel",P8="Absenkung um 4°C"),N8/0.75*0.24*Faktoren!$E$125,0))))+IF(AND(O8="Biomasse: Pellets",P8="Absenkung um 1°C"),N8/0.8*0.06*Faktoren!$E$126,IF(AND(O8="Biomasse: Pellets",P8="Absenkung um 2°C"),N8/0.8*0.12*Faktoren!$E$126,IF(AND(O8="Biomasse: Pellets",P8="Absenkung um 3°C"),N8/0.8*0.18*Faktoren!$E$126,IF(AND(O8="Biomasse: Pellets",P8="Absenkung um 4°C"),N8/0.8*0.24*Faktoren!$E$126,0))))+IF(AND(O8="Erdgas",P8="Absenkung um 1°C"),N8/0.92*0.06*Faktoren!$E$127,IF(AND(O8="Erdgas",P8="Absenkung um 2°C"),N8/0.92*0.12*Faktoren!$E$127,IF(AND(O8="Erdgas",P8="Absenkung um 3°C"),N8/0.92*0.18*Faktoren!$E$127,IF(AND(O8="Erdgas",P8="Absenkung um 4°C"),N8/0.92*0.24*Faktoren!$E$127,0))))+IF(AND(O8="Fernwärme (Kohle)",P8="Absenkung um 1°C"),N8/0.96*0.06*Faktoren!$E$128,IF(AND(O8="Fernwärme (Kohle)",P8="Absenkung um 2°C"),N8/0.96*0.12*Faktoren!$E$128,IF(AND(O8="Fernwärme (Kohle)",P8="Absenkung um 3°C"),N8/0.96*0.18*Faktoren!$E$128,IF(AND(O8="Fernwärme (Kohle)",P8="Absenkung um 4°C"),N8/0.96*0.24*Faktoren!$E$128,0))))+IF(AND(O8="Fernwärme (Erdgas)",P8="Absenkung um 1°C"),N8/0.96*0.06*Faktoren!$E$129,IF(AND(O8="Fernwärme (Erdgas)",P8="Absenkung um 2°C"),N8/0.96*0.12*Faktoren!$E$129,IF(AND(O8="Fernwärme (Erdgas)",P8="Absenkung um 3°C"),N8/0.96*0.18*Faktoren!$E$129,IF(AND(O8="Fernwärme (Erdgas)",P8="Absenkung um 4°C"),N8/0.96*0.24*Faktoren!$E$129,0))))+IF(AND(O8="Fernwärme (Biogas)",P8="Absenkung um 1°C"),N8/0.96*0.06*Faktoren!$E$130,IF(AND(O8="Fernwärme (Biogas)",P8="Absenkung um 2°C"),N8/0.96*0.12*Faktoren!$E$130,IF(AND(O8="Fernwärme (Biogas)",P8="Absenkung um 3°C"),N8/0.96*0.18*Faktoren!$E$130,IF(AND(O8="Fernwärme (Biogas)",P8="Absenkung um 4°C"),N8/0.96*0.24*Faktoren!$E$130,0))))+IF(AND(O8="Fernwärme (Müll HKW)",P8="Absenkung um 1°C"),N8/0.96*0.06*Faktoren!$E$131,IF(AND(O8="Fernwärme (Müll HKW)",P8="Absenkung um 2°C"),N8/0.96*0.12*Faktoren!$E$131,IF(AND(O8="Fernwärme (Müll HKW)",P8="Absenkung um 3°C"),N8/0.96*0.18*Faktoren!$E$131,IF(AND(O8="Fernwärme (Müll HKW)",P8="Absenkung um 4°C"),N8/0.96*0.24*Faktoren!$E$131,0))))+IF(AND(O8="Fernwärme (Hackschnitzel)",P8="Absenkung um 1°C"),N8/0.96*0.06*Faktoren!$E$132,IF(AND(O8="Fernwärme (Hackschnitzel)",P8="Absenkung um 2°C"),N8/0.96*0.12*Faktoren!$E$132,IF(AND(O8="Fernwärme (Hackschnitzel)",P8="Absenkung um 3°C"),N8/0.96*0.18*Faktoren!$E$132,IF(AND(O8="Fernwärme (Hackschnitzel)",P8="Absenkung um 4°C"),N8/0.96*0.24*Faktoren!$E$132,0))))+IF(AND(O8="Fernwärme (Industrielle Prozessabwärme)",P8="Absenkung um 1°C"),N8/0.96*0.06*Faktoren!$E$133,IF(AND(O8="Fernwärme (Industrielle Prozessabwärme)",P8="Absenkung um 2°C"),N8/0.96*0.12*Faktoren!$E$133,IF(AND(O8="Fernwärme (Industrielle Prozessabwärme)",P8="Absenkung um 3°C"),N8/0.96*0.18*Faktoren!$E$133,IF(AND(O8="Fernwärme (Industrielle Prozessabwärme)",P8="Absenkung um 4°C"),N8*0.24*Faktoren!$E$133,0))))+IF(AND(O8="Flüssiggas",P8="Absenkung um 1°C"),N8/0.92*0.06*Faktoren!$E$134,IF(AND(O8="Flüssiggas",P8="Absenkung um 2°C"),N8/0.92*0.12*Faktoren!$E$134,IF(AND(O8="Flüssiggas",P8="Absenkung um 3°C"),N8/0.92*0.18*Faktoren!$E$134,IF(AND(O8="Flüssiggas",P8="Absenkung um 4°C"),N8/0.92*0.24*Faktoren!$E$134,0))))+IF(AND(O8="Heizöl",P8="Absenkung um 1°C"),N8/0.86*0.06*Faktoren!$E$135,IF(AND(O8="Heizöl",P8="Absenkung um 2°C"),N8/0.86*0.12*Faktoren!$E$135,IF(AND(O8="Heizöl",P8="Absenkung um 3°C"),N8/0.86*0.18*Faktoren!$E$135,IF(AND(O8="Heizöl",P8="Absenkung um 4°C"),N8/0.86*0.24*Faktoren!$E$135,0))))+IF(AND(O8="Wärmepumpe (Luft/Wasser)",P8="Absenkung um 1°C"),N8*0.06*Faktoren!$E$135,IF(AND(O8="Wärmepumpe (Luft/Wasser)",P8="Absenkung um 2°C"),N8*0.12*Faktoren!$E$136,IF(AND(O8="Wärmepumpe (Luft/Wasser)",P8="Absenkung um 3°C"),N8*0.18*Faktoren!$E$136,IF(AND(O8="Wärmepumpe (Luft/Wasser)",P8="Absenkung um 4°C"),N8*0.24*Faktoren!$E$136,0))))+IF(AND(O8="Wärmepumpe (Sole/Wasser)",P8="Absenkung um 1°C"),N8*0.06*Faktoren!$E$137,IF(AND(O8="Wärmepumpe (Sole/Wasser)",P8="Absenkung um 2°C"),N8*0.12*Faktoren!$E$137,IF(AND(O8="Wärmepumpe (Sole/Wasser)",P8="Absenkung um 3°C"),N8*0.18*Faktoren!$E$137,IF(AND(O8="Wärmepumpe (Sole/Wasser)",P8="Absenkung um 4°C"),N8*0.24*Faktoren!$E$137,0))))</f>
        <v>540</v>
      </c>
    </row>
    <row r="9" spans="1:17" ht="50.1" customHeight="1" x14ac:dyDescent="0.25">
      <c r="A9" s="73" t="s">
        <v>57</v>
      </c>
      <c r="B9" s="59"/>
      <c r="C9" s="60"/>
      <c r="D9" s="60"/>
      <c r="E9" s="60"/>
      <c r="F9" s="56"/>
      <c r="G9" s="60"/>
      <c r="H9" s="60"/>
      <c r="I9" s="58"/>
      <c r="J9" s="58"/>
      <c r="K9" s="58"/>
      <c r="M9" s="167" t="s">
        <v>613</v>
      </c>
      <c r="N9" s="173">
        <v>100000</v>
      </c>
      <c r="O9" s="175" t="s">
        <v>329</v>
      </c>
      <c r="P9" s="166">
        <v>0.2</v>
      </c>
      <c r="Q9" s="144">
        <f>IF(O9="Biogas",N9*1*P9*Faktoren!$E$124,0)+IF(O9="Biomasse: Hackschnitzel",N9/0.75*P9*Faktoren!$E$125,0)+IF(O9="Biomasse: Pellets",N9/0.8*P9*Faktoren!$E$126,0)+IF(O9="Erdgas",N9/0.92*P9*Faktoren!$E$127,0)+IF(O9="Fernwärme (Kohle)",N9/0.96*P9*Faktoren!$E$128,0)+IF(O9="Fernwärme (Erdgas)",N9/0.96*P9*Faktoren!$E$129,0)+IF(O9="Fernwärme (Biogas)",N9/0.96*P9*Faktoren!$E$130,0)+IF(O9="Fernwärme (Müll HKW)",N9/0.96*P9*Faktoren!$E$131,0)+IF(O9="Fernwärme (Hackschnitzel)",N9/0.96*P9*Faktoren!$E$132,0)+IF(O9="Fernwärme (Industrielle Prozessabwärme)",N9/0.96*P9*Faktoren!$E$133,0)+IF(O9="Flüssiggas",N9/0.92*P9*Faktoren!$E$134,0)+IF(O9="Heizöl",N9/0.86*P9*Faktoren!$E$135,0)+IF(O9="Wärmepumpe (Luft/Wasser)",N9*P9*Faktoren!$E$136,0)+IF(O9="Wärmepumpe (Sole/Wasser)",N9*P9*Faktoren!$E$137,0)</f>
        <v>3040</v>
      </c>
    </row>
    <row r="10" spans="1:17" ht="50.1" customHeight="1" x14ac:dyDescent="0.25">
      <c r="A10" s="73" t="s">
        <v>58</v>
      </c>
      <c r="B10" s="59"/>
      <c r="C10" s="60"/>
      <c r="D10" s="60"/>
      <c r="E10" s="60"/>
      <c r="F10" s="56"/>
      <c r="G10" s="60"/>
      <c r="H10" s="60"/>
      <c r="I10" s="58"/>
      <c r="J10" s="58"/>
      <c r="K10" s="58"/>
      <c r="M10" s="167" t="s">
        <v>600</v>
      </c>
      <c r="N10" s="173">
        <v>100000</v>
      </c>
      <c r="O10" s="175" t="s">
        <v>323</v>
      </c>
      <c r="P10" s="166">
        <v>0.8</v>
      </c>
      <c r="Q10" s="144">
        <f>IF(O10="Biogas",N10*1*P10*Faktoren!$E$124,0)+IF(O10="Biomasse: Hackschnitzel",N10/0.75*P10*Faktoren!$E$125,0)+IF(O10="Biomasse: Pellets",N10/0.8*P10*Faktoren!$E$126,0)+IF(O10="Erdgas",N10/0.92*P10*Faktoren!$E$127,0)+IF(O10="Fernwärme (Kohle)",N10/0.96*P10*Faktoren!$E$128,0)+IF(O10="Fernwärme (Erdgas)",N10/0.96*P10*Faktoren!$E$129,0)+IF(O10="Fernwärme (Biogas)",N10/0.96*P10*Faktoren!$E$130,0)+IF(O10="Fernwärme (Müll HKW)",N10/0.96*P10*Faktoren!$E$131,0)+IF(O10="Fernwärme (Hackschnitzel)",N10/0.96*P10*Faktoren!$E$132,0)+IF(O10="Fernwärme (Industrielle Prozessabwärme)",N10/0.96*P10*Faktoren!$E$133,0)+IF(O10="Flüssiggas",N10/0.92*P10*Faktoren!$E$134,0)+IF(O10="Heizöl",N10/0.86*P10*Faktoren!$E$135,0)+IF(O10="Wärmepumpe (Luft/Wasser))",N10*P10*Faktoren!$E$136,0)+IF(O10="Wärmepumpe (Sole/Wasser)",N10*P10*Faktoren!$E$137,0)</f>
        <v>2880.0000000000005</v>
      </c>
    </row>
    <row r="11" spans="1:17" ht="50.1" customHeight="1" x14ac:dyDescent="0.25">
      <c r="A11" s="73" t="s">
        <v>59</v>
      </c>
      <c r="B11" s="59"/>
      <c r="C11" s="60"/>
      <c r="D11" s="60"/>
      <c r="E11" s="60"/>
      <c r="F11" s="56"/>
      <c r="G11" s="60"/>
      <c r="H11" s="60"/>
      <c r="I11" s="58"/>
      <c r="J11" s="58"/>
      <c r="K11" s="58"/>
      <c r="M11" s="171" t="s">
        <v>675</v>
      </c>
      <c r="N11" s="172">
        <v>500000</v>
      </c>
      <c r="O11" s="177"/>
      <c r="P11" s="174"/>
      <c r="Q11" s="145">
        <f>IF($M$11=Faktoren!C58,$N$11*Faktoren!E58,0)+IF($M$11=Faktoren!C59,$N$11*Faktoren!E59,0)+IF($M$11=Faktoren!C60,$N$11*Faktoren!E60,0)+IF($M$11=Faktoren!C61,$N$11*Faktoren!E61,0)+IF($M$11=Faktoren!C62,$N$11*Faktoren!E62,0)+IF($M$11=Faktoren!C63,$N$11*Faktoren!E63,0)+IF($M$11=Faktoren!C64,$N$11*Faktoren!E64,0)+IF($M$11=Faktoren!C65,$N$11*Faktoren!E65,0)+IF($M$11=Faktoren!C66,$N$11*Faktoren!E66,0)+IF($M$11=Faktoren!C66,$N$11*Faktoren!E66,0)+IF($M$11=Faktoren!C67,$N$11*Faktoren!E67,0)+IF($M$11=Faktoren!C68,$N$11*Faktoren!E68,0)+IF($M$11=Faktoren!C69,$N$11*Faktoren!E69,0)+IF($M$11=Faktoren!C70,$N$11*Faktoren!E70,0)+IF($M$11=Faktoren!C71,$N$11*Faktoren!E71,0)+IF($M$11=Faktoren!C71,$N$11*Faktoren!E71,0)+IF($M$11=Faktoren!C72,$N$11*Faktoren!E72,0)+IF($M$11=Faktoren!C73,$N$11*Faktoren!E73,0)+IF($M$11=Faktoren!C74,$N$11*Faktoren!E74,0)+IF($M$11=Faktoren!C75,$N$11*Faktoren!E75,0)+IF($M$11=Faktoren!C76,$N$11*Faktoren!E76,0)+IF($M$11=Faktoren!C77,$N$11*Faktoren!E77,0)+IF($M$11=Faktoren!C78,$N$11*Faktoren!E78,0)+IF($M$11=Faktoren!C79,$N$11*Faktoren!E79,0)+IF($M$11=Faktoren!C80,$N$11*Faktoren!E80,0)+IF($M$11=Faktoren!C81,$N$11*Faktoren!E81,0)+IF($M$11=Faktoren!C82,$N$11*Faktoren!E82,0)++IF($M$11=Faktoren!C83,$N$11*Faktoren!E83,0)+IF($M$11=Faktoren!C84,$N$11*Faktoren!E84,0)+IF($M$11=Faktoren!C85,$N$11*Faktoren!E85,0)+IF($M$11=Faktoren!C86,$N$11*Faktoren!E86,0)+IF($M$11=Faktoren!C87,$N$11*Faktoren!E87,0)+IF($M$11=Faktoren!C88,$N$11*Faktoren!E88,0)+IF($M$11=Faktoren!C89,$N$11*Faktoren!E89,0)+IF($M$11=Faktoren!C90,$N$11*Faktoren!E90,0)+IF($M$11=Faktoren!C91,$N$11*Faktoren!E91,0)+IF($M$11=Faktoren!C92,$N$11*Faktoren!E92,0)+IF($M$11=Faktoren!C93,$N$11*Faktoren!E93,0)+IF($M$11=Faktoren!C94,$N$11*Faktoren!E94,0)+IF($M$11=Faktoren!C95,$N$11*Faktoren!E95,0)+IF($M$11=Faktoren!C96,$N$11*Faktoren!E96,0)+IF($M$11=Faktoren!C97,$N$11*Faktoren!E97,0)+IF($M$11=Faktoren!C98,$N$11*Faktoren!E98,0)+IF($M$11=Faktoren!C99,$N$11*Faktoren!E99,0)+IF($M$11=Faktoren!C101,$N$11*Faktoren!E101,0)+IF($M$11=Faktoren!C102,$N$11*Faktoren!E102,0)+IF($M$11=Faktoren!C103,$N$11*Faktoren!E103,0)+IF($M$11=Faktoren!C104,$N$11*Faktoren!E104,0)+IF($M$11=Faktoren!C105,$N$11*Faktoren!E105,0)+IF($M$11=Faktoren!C106,$N$11*Faktoren!E106,0)+IF($M$11=Faktoren!C107,$N$11*Faktoren!E107,0)+IF($M$11=Faktoren!C108,$N$11*Faktoren!E108,0)+IF($M$11=Faktoren!C109,$N$11*Faktoren!E109,0)+IF($M$11=Faktoren!C110,$N$11*Faktoren!E110,0)+IF($M$11=Faktoren!C111,$N$11*Faktoren!E111,0)+IF($M$11=Faktoren!C112,$N$11*Faktoren!E112,0)+IF($M$11=Faktoren!C113,$N$11*Faktoren!E113,0)+IF($M$11=Faktoren!C114,$N$11*Faktoren!E114,0)+IF($M$11=Faktoren!C115,$N$11*Faktoren!E115,0)+IF($M$11=Faktoren!C116,$N$11*Faktoren!E116,0)+IF($M$11=Faktoren!C117,$N$11*Faktoren!E117,0)+IF($M$11=Faktoren!C118,$N$11*Faktoren!E118,0)+IF($M$11=Faktoren!C119,$N$11*Faktoren!E119,0)+IF($M$11=Faktoren!C120,$N$11*Faktoren!E120,0)+IF($M$11=Faktoren!C121,$N$11*Faktoren!E121,0)</f>
        <v>129999.99999999997</v>
      </c>
    </row>
    <row r="12" spans="1:17" ht="50.1" customHeight="1" x14ac:dyDescent="0.25">
      <c r="A12" s="74" t="s">
        <v>60</v>
      </c>
      <c r="B12" s="59"/>
      <c r="C12" s="60"/>
      <c r="D12" s="60"/>
      <c r="E12" s="60"/>
      <c r="F12" s="56"/>
      <c r="G12" s="60"/>
      <c r="H12" s="60"/>
      <c r="I12" s="58"/>
      <c r="J12" s="58"/>
      <c r="K12" s="58"/>
    </row>
    <row r="13" spans="1:17" ht="24" customHeight="1" x14ac:dyDescent="0.25">
      <c r="A13" s="44"/>
      <c r="B13" s="33"/>
      <c r="C13" s="32"/>
      <c r="D13" s="32"/>
      <c r="E13" s="33"/>
      <c r="F13" s="32"/>
      <c r="G13" s="32"/>
      <c r="H13" s="31" t="s">
        <v>7</v>
      </c>
      <c r="I13" s="43">
        <f>SUM(I8:I12)</f>
        <v>0</v>
      </c>
      <c r="J13" s="43">
        <f>SUM(J8:J12)</f>
        <v>0</v>
      </c>
      <c r="K13" s="43">
        <f>SUM(K8:K12)</f>
        <v>0</v>
      </c>
      <c r="L13" s="76"/>
    </row>
    <row r="14" spans="1:17" ht="21" x14ac:dyDescent="0.25">
      <c r="M14" s="149" t="s">
        <v>650</v>
      </c>
    </row>
    <row r="15" spans="1:17" x14ac:dyDescent="0.25">
      <c r="M15" s="255" t="s">
        <v>651</v>
      </c>
      <c r="N15" s="255"/>
      <c r="O15" s="255"/>
      <c r="P15" s="1"/>
    </row>
    <row r="16" spans="1:17" ht="36.75" customHeight="1" x14ac:dyDescent="0.25">
      <c r="M16" s="154" t="s">
        <v>649</v>
      </c>
      <c r="N16" s="155" t="s">
        <v>658</v>
      </c>
      <c r="O16" s="156" t="s">
        <v>639</v>
      </c>
      <c r="P16" s="82"/>
    </row>
    <row r="17" spans="13:17" ht="30" customHeight="1" x14ac:dyDescent="0.25">
      <c r="M17" s="152" t="s">
        <v>648</v>
      </c>
      <c r="N17" s="178">
        <v>0</v>
      </c>
      <c r="O17" s="186">
        <f>Wärme!N17*'Übersicht Emissionsfaktoren'!E110*0.7</f>
        <v>0</v>
      </c>
    </row>
    <row r="18" spans="13:17" ht="30" customHeight="1" x14ac:dyDescent="0.25">
      <c r="M18" s="152" t="s">
        <v>642</v>
      </c>
      <c r="N18" s="179">
        <v>0</v>
      </c>
      <c r="O18" s="186">
        <f>N18*'Übersicht Emissionsfaktoren'!E111*0.7</f>
        <v>0</v>
      </c>
      <c r="P18" s="147"/>
      <c r="Q18" s="148"/>
    </row>
    <row r="19" spans="13:17" ht="30" customHeight="1" x14ac:dyDescent="0.25">
      <c r="M19" s="152" t="s">
        <v>643</v>
      </c>
      <c r="N19" s="179">
        <v>0</v>
      </c>
      <c r="O19" s="186">
        <f>N19*'Übersicht Emissionsfaktoren'!E112*0.7</f>
        <v>0</v>
      </c>
      <c r="P19" s="148"/>
      <c r="Q19" s="148"/>
    </row>
    <row r="20" spans="13:17" ht="30" customHeight="1" x14ac:dyDescent="0.25">
      <c r="M20" s="152" t="s">
        <v>644</v>
      </c>
      <c r="N20" s="180">
        <v>0</v>
      </c>
      <c r="O20" s="186">
        <f>N20*'Übersicht Emissionsfaktoren'!E113*0.7</f>
        <v>0</v>
      </c>
      <c r="P20" s="148"/>
      <c r="Q20" s="148"/>
    </row>
    <row r="21" spans="13:17" ht="30" customHeight="1" x14ac:dyDescent="0.25">
      <c r="M21" s="152" t="s">
        <v>645</v>
      </c>
      <c r="N21" s="180">
        <v>0</v>
      </c>
      <c r="O21" s="186">
        <f>N21*'Übersicht Emissionsfaktoren'!E114*0.92</f>
        <v>0</v>
      </c>
      <c r="P21" s="148"/>
      <c r="Q21" s="148"/>
    </row>
    <row r="22" spans="13:17" ht="30" customHeight="1" x14ac:dyDescent="0.25">
      <c r="M22" s="152" t="s">
        <v>646</v>
      </c>
      <c r="N22" s="180">
        <v>0</v>
      </c>
      <c r="O22" s="186">
        <f>N22*'Übersicht Emissionsfaktoren'!E115*0.92</f>
        <v>0</v>
      </c>
      <c r="P22" s="148"/>
      <c r="Q22" s="148"/>
    </row>
    <row r="23" spans="13:17" ht="30" customHeight="1" x14ac:dyDescent="0.25">
      <c r="M23" s="152" t="s">
        <v>647</v>
      </c>
      <c r="N23" s="181">
        <v>0</v>
      </c>
      <c r="O23" s="186">
        <f>N23*'Übersicht Emissionsfaktoren'!E116*0.86</f>
        <v>0</v>
      </c>
      <c r="P23" s="148"/>
      <c r="Q23" s="148"/>
    </row>
    <row r="24" spans="13:17" ht="30" customHeight="1" x14ac:dyDescent="0.25">
      <c r="M24" s="152" t="s">
        <v>677</v>
      </c>
      <c r="N24" s="187">
        <v>0</v>
      </c>
      <c r="O24" s="188">
        <f>N24*'Übersicht Emissionsfaktoren'!E107</f>
        <v>0</v>
      </c>
      <c r="P24" s="148"/>
      <c r="Q24" s="148"/>
    </row>
    <row r="25" spans="13:17" ht="30" customHeight="1" x14ac:dyDescent="0.25">
      <c r="M25" s="153" t="s">
        <v>678</v>
      </c>
      <c r="N25" s="187">
        <v>0</v>
      </c>
      <c r="O25" s="188">
        <f>N25*'Übersicht Emissionsfaktoren'!E108</f>
        <v>0</v>
      </c>
    </row>
    <row r="26" spans="13:17" ht="30" customHeight="1" x14ac:dyDescent="0.25"/>
    <row r="27" spans="13:17" ht="30" customHeight="1" x14ac:dyDescent="0.25"/>
    <row r="40" spans="3:3" x14ac:dyDescent="0.25">
      <c r="C40" s="150"/>
    </row>
    <row r="41" spans="3:3" x14ac:dyDescent="0.25">
      <c r="C41" s="150"/>
    </row>
    <row r="42" spans="3:3" x14ac:dyDescent="0.25">
      <c r="C42" s="150"/>
    </row>
    <row r="43" spans="3:3" x14ac:dyDescent="0.25">
      <c r="C43" s="150"/>
    </row>
    <row r="44" spans="3:3" x14ac:dyDescent="0.25">
      <c r="C44" s="150"/>
    </row>
    <row r="45" spans="3:3" x14ac:dyDescent="0.25">
      <c r="C45" s="150"/>
    </row>
    <row r="46" spans="3:3" x14ac:dyDescent="0.25">
      <c r="C46" s="150"/>
    </row>
    <row r="47" spans="3:3" x14ac:dyDescent="0.25">
      <c r="C47" s="150"/>
    </row>
    <row r="48" spans="3:3" x14ac:dyDescent="0.25">
      <c r="C48" s="150"/>
    </row>
    <row r="49" spans="3:3" x14ac:dyDescent="0.25">
      <c r="C49" s="150"/>
    </row>
    <row r="50" spans="3:3" x14ac:dyDescent="0.25">
      <c r="C50" s="150"/>
    </row>
    <row r="51" spans="3:3" x14ac:dyDescent="0.25">
      <c r="C51" s="150"/>
    </row>
    <row r="52" spans="3:3" x14ac:dyDescent="0.25">
      <c r="C52" s="150"/>
    </row>
    <row r="53" spans="3:3" x14ac:dyDescent="0.25">
      <c r="C53" s="150"/>
    </row>
    <row r="54" spans="3:3" x14ac:dyDescent="0.25">
      <c r="C54" s="150"/>
    </row>
  </sheetData>
  <sheetProtection sheet="1" objects="1" selectLockedCells="1"/>
  <sortState xmlns:xlrd2="http://schemas.microsoft.com/office/spreadsheetml/2017/richdata2" ref="C40:C54">
    <sortCondition ref="C40:C54"/>
  </sortState>
  <mergeCells count="15">
    <mergeCell ref="P6:P7"/>
    <mergeCell ref="Q6:Q7"/>
    <mergeCell ref="G6:G7"/>
    <mergeCell ref="H6:H7"/>
    <mergeCell ref="I6:K6"/>
    <mergeCell ref="M15:O15"/>
    <mergeCell ref="F6:F7"/>
    <mergeCell ref="O6:O7"/>
    <mergeCell ref="A6:A7"/>
    <mergeCell ref="B6:B7"/>
    <mergeCell ref="C6:C7"/>
    <mergeCell ref="D6:D7"/>
    <mergeCell ref="E6:E7"/>
    <mergeCell ref="M6:M7"/>
    <mergeCell ref="N6:N7"/>
  </mergeCells>
  <phoneticPr fontId="2" type="noConversion"/>
  <conditionalFormatting sqref="F8:F12">
    <cfRule type="containsText" dxfId="48" priority="1" operator="containsText" text="Umsetzung nicht möglich">
      <formula>NOT(ISERROR(SEARCH("Umsetzung nicht möglich",F8)))</formula>
    </cfRule>
    <cfRule type="containsText" dxfId="47" priority="2" operator="containsText" text="bisher nicht umgesetzt">
      <formula>NOT(ISERROR(SEARCH("bisher nicht umgesetzt",F8)))</formula>
    </cfRule>
    <cfRule type="containsText" dxfId="46" priority="3" operator="containsText" text="zukünftiger Termin">
      <formula>NOT(ISERROR(SEARCH("zukünftiger Termin",F8)))</formula>
    </cfRule>
    <cfRule type="containsText" dxfId="45" priority="4" operator="containsText" text="In Umsetzung (Ende)">
      <formula>NOT(ISERROR(SEARCH("In Umsetzung (Ende)",F8)))</formula>
    </cfRule>
    <cfRule type="containsText" dxfId="44" priority="5" operator="containsText" text="In Umsetzung (Mitte)">
      <formula>NOT(ISERROR(SEARCH("In Umsetzung (Mitte)",F8)))</formula>
    </cfRule>
    <cfRule type="containsText" dxfId="43" priority="6" operator="containsText" text="In Umsetzung (Anfang)">
      <formula>NOT(ISERROR(SEARCH("In Umsetzung (Anfang)",F8)))</formula>
    </cfRule>
    <cfRule type="containsText" dxfId="42" priority="7" operator="containsText" text="umgesetzt">
      <formula>NOT(ISERROR(SEARCH("umgesetzt",F8)))</formula>
    </cfRule>
  </conditionalFormatting>
  <conditionalFormatting sqref="F10">
    <cfRule type="containsText" dxfId="41" priority="8" operator="containsText" text="Umsetzung nicht möglich">
      <formula>NOT(ISERROR(SEARCH("Umsetzung nicht möglich",F10)))</formula>
    </cfRule>
  </conditionalFormatting>
  <dataValidations disablePrompts="1" count="4">
    <dataValidation type="list" allowBlank="1" showInputMessage="1" showErrorMessage="1" sqref="P16:P18" xr:uid="{FDEF76AC-9D6D-4D33-98FF-12555B0AE3AB}">
      <formula1>"10 %, 20 %, 30%, 40 %, 50 %, 60%, 70 %, 80 %, 90 %, 100 %"</formula1>
    </dataValidation>
    <dataValidation type="list" allowBlank="1" showInputMessage="1" showErrorMessage="1" sqref="P10" xr:uid="{E261F6E0-CB7A-4627-AAB5-1415D9BA18B7}">
      <formula1>"10 %, 20 %, 30 %, 40 %, 50 %, 60 %, 70 %, 80 %, 90 %, 100 %"</formula1>
    </dataValidation>
    <dataValidation type="list" allowBlank="1" showInputMessage="1" showErrorMessage="1" sqref="P8" xr:uid="{948CFA43-F96E-4794-97D5-FDF0A345BC75}">
      <formula1>"Absenkung um 1°C, Absenkung um 2°C, Absenkung um 3°C, Absenkung um 4°C"</formula1>
    </dataValidation>
    <dataValidation type="list" allowBlank="1" showInputMessage="1" showErrorMessage="1" sqref="P9" xr:uid="{5CB6E04F-59F0-47D1-9A72-6D756C9238F8}">
      <formula1>"5%,10%,15%,20%,25%,30%,35%,40%"</formula1>
    </dataValidation>
  </dataValidations>
  <pageMargins left="0.7" right="0.7" top="0.78740157499999996" bottom="0.78740157499999996" header="0.3" footer="0.3"/>
  <pageSetup paperSize="9" orientation="landscape" horizontalDpi="0" verticalDpi="0" r:id="rId1"/>
  <drawing r:id="rId2"/>
  <tableParts count="1">
    <tablePart r:id="rId3"/>
  </tableParts>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800-000000000000}">
          <x14:formula1>
            <xm:f>Status!$A$2:$A$10</xm:f>
          </x14:formula1>
          <xm:sqref>F8:F12</xm:sqref>
        </x14:dataValidation>
        <x14:dataValidation type="list" allowBlank="1" showInputMessage="1" showErrorMessage="1" xr:uid="{00000000-0002-0000-0800-000001000000}">
          <x14:formula1>
            <xm:f>Schlüsselprojekt!$A$1:$A$2</xm:f>
          </x14:formula1>
          <xm:sqref>D8:D12</xm:sqref>
        </x14:dataValidation>
        <x14:dataValidation type="list" allowBlank="1" showInputMessage="1" showErrorMessage="1" xr:uid="{AB4BE1DB-C5D5-4E85-94B5-7E879DD6B5F7}">
          <x14:formula1>
            <xm:f>Faktoren!$C$53</xm:f>
          </x14:formula1>
          <xm:sqref>M8</xm:sqref>
        </x14:dataValidation>
        <x14:dataValidation type="list" allowBlank="1" showInputMessage="1" showErrorMessage="1" xr:uid="{0774E63D-47F7-4148-8C96-43BDDD95A3E8}">
          <x14:formula1>
            <xm:f>Faktoren!$C$56</xm:f>
          </x14:formula1>
          <xm:sqref>M10</xm:sqref>
        </x14:dataValidation>
        <x14:dataValidation type="list" allowBlank="1" showInputMessage="1" showErrorMessage="1" xr:uid="{85281AC7-6978-4096-BCE3-DFD1872C9144}">
          <x14:formula1>
            <xm:f>Faktoren!$C$55</xm:f>
          </x14:formula1>
          <xm:sqref>M9</xm:sqref>
        </x14:dataValidation>
        <x14:dataValidation type="list" allowBlank="1" showInputMessage="1" showErrorMessage="1" xr:uid="{C2249E8F-54D2-4351-B401-520683D46D71}">
          <x14:formula1>
            <xm:f>Faktoren!$C$58:$C$121</xm:f>
          </x14:formula1>
          <xm:sqref>M11</xm:sqref>
        </x14:dataValidation>
        <x14:dataValidation type="list" allowBlank="1" showInputMessage="1" showErrorMessage="1" xr:uid="{1A0A43CD-0C93-49F2-800B-7237095C8D77}">
          <x14:formula1>
            <xm:f>Faktoren!$C$124:$C$137</xm:f>
          </x14:formula1>
          <xm:sqref>O8:O10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MS_Mappings xmlns="a859d3de-9262-459d-ac14-e09968d489ed" xsi:nil="true"/>
    <Math_Settings xmlns="a859d3de-9262-459d-ac14-e09968d489ed" xsi:nil="true"/>
    <Self_Registration_Enabled xmlns="a859d3de-9262-459d-ac14-e09968d489ed" xsi:nil="true"/>
    <Members xmlns="a859d3de-9262-459d-ac14-e09968d489ed">
      <UserInfo>
        <DisplayName/>
        <AccountId xsi:nil="true"/>
        <AccountType/>
      </UserInfo>
    </Members>
    <Has_Leaders_Only_SectionGroup xmlns="a859d3de-9262-459d-ac14-e09968d489ed" xsi:nil="true"/>
    <AppVersion xmlns="a859d3de-9262-459d-ac14-e09968d489ed" xsi:nil="true"/>
    <Invited_Teachers xmlns="a859d3de-9262-459d-ac14-e09968d489ed" xsi:nil="true"/>
    <IsNotebookLocked xmlns="a859d3de-9262-459d-ac14-e09968d489ed" xsi:nil="true"/>
    <NotebookType xmlns="a859d3de-9262-459d-ac14-e09968d489ed" xsi:nil="true"/>
    <Teachers xmlns="a859d3de-9262-459d-ac14-e09968d489ed">
      <UserInfo>
        <DisplayName/>
        <AccountId xsi:nil="true"/>
        <AccountType/>
      </UserInfo>
    </Teachers>
    <Students xmlns="a859d3de-9262-459d-ac14-e09968d489ed">
      <UserInfo>
        <DisplayName/>
        <AccountId xsi:nil="true"/>
        <AccountType/>
      </UserInfo>
    </Students>
    <Student_Groups xmlns="a859d3de-9262-459d-ac14-e09968d489ed">
      <UserInfo>
        <DisplayName/>
        <AccountId xsi:nil="true"/>
        <AccountType/>
      </UserInfo>
    </Student_Groups>
    <Templates xmlns="a859d3de-9262-459d-ac14-e09968d489ed" xsi:nil="true"/>
    <DefaultSectionNames xmlns="a859d3de-9262-459d-ac14-e09968d489ed" xsi:nil="true"/>
    <Owner xmlns="a859d3de-9262-459d-ac14-e09968d489ed">
      <UserInfo>
        <DisplayName/>
        <AccountId xsi:nil="true"/>
        <AccountType/>
      </UserInfo>
    </Owner>
    <Distribution_Groups xmlns="a859d3de-9262-459d-ac14-e09968d489ed" xsi:nil="true"/>
    <Has_Teacher_Only_SectionGroup xmlns="a859d3de-9262-459d-ac14-e09968d489ed" xsi:nil="true"/>
    <Member_Groups xmlns="a859d3de-9262-459d-ac14-e09968d489ed">
      <UserInfo>
        <DisplayName/>
        <AccountId xsi:nil="true"/>
        <AccountType/>
      </UserInfo>
    </Member_Groups>
    <Is_Collaboration_Space_Locked xmlns="a859d3de-9262-459d-ac14-e09968d489ed" xsi:nil="true"/>
    <Invited_Members xmlns="a859d3de-9262-459d-ac14-e09968d489ed" xsi:nil="true"/>
    <Teams_Channel_Section_Location xmlns="a859d3de-9262-459d-ac14-e09968d489ed" xsi:nil="true"/>
    <TeamsChannelId xmlns="a859d3de-9262-459d-ac14-e09968d489ed" xsi:nil="true"/>
    <Invited_Students xmlns="a859d3de-9262-459d-ac14-e09968d489ed" xsi:nil="true"/>
    <Invited_Leaders xmlns="a859d3de-9262-459d-ac14-e09968d489ed" xsi:nil="true"/>
    <FolderType xmlns="a859d3de-9262-459d-ac14-e09968d489ed" xsi:nil="true"/>
    <CultureName xmlns="a859d3de-9262-459d-ac14-e09968d489ed" xsi:nil="true"/>
    <Leaders xmlns="a859d3de-9262-459d-ac14-e09968d489ed">
      <UserInfo>
        <DisplayName/>
        <AccountId xsi:nil="true"/>
        <AccountType/>
      </UserInfo>
    </Leaders>
    <_activity xmlns="a859d3de-9262-459d-ac14-e09968d489e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51E82C21230994E856EF45F4148E7EE" ma:contentTypeVersion="42" ma:contentTypeDescription="Ein neues Dokument erstellen." ma:contentTypeScope="" ma:versionID="e9e6a3efcd4f6c27a8324c7f763f785f">
  <xsd:schema xmlns:xsd="http://www.w3.org/2001/XMLSchema" xmlns:xs="http://www.w3.org/2001/XMLSchema" xmlns:p="http://schemas.microsoft.com/office/2006/metadata/properties" xmlns:ns3="a859d3de-9262-459d-ac14-e09968d489ed" xmlns:ns4="b6bbdf22-990a-4685-8371-9a42806029dd" targetNamespace="http://schemas.microsoft.com/office/2006/metadata/properties" ma:root="true" ma:fieldsID="96b525f1223fd97df3cd8d68c19e6561" ns3:_="" ns4:_="">
    <xsd:import namespace="a859d3de-9262-459d-ac14-e09968d489ed"/>
    <xsd:import namespace="b6bbdf22-990a-4685-8371-9a42806029dd"/>
    <xsd:element name="properties">
      <xsd:complexType>
        <xsd:sequence>
          <xsd:element name="documentManagement">
            <xsd:complexType>
              <xsd:all>
                <xsd:element ref="ns3:NotebookType" minOccurs="0"/>
                <xsd:element ref="ns3:FolderType" minOccurs="0"/>
                <xsd:element ref="ns3:CultureName" minOccurs="0"/>
                <xsd:element ref="ns3:AppVersion" minOccurs="0"/>
                <xsd:element ref="ns3:TeamsChannelId" minOccurs="0"/>
                <xsd:element ref="ns3:Owner" minOccurs="0"/>
                <xsd:element ref="ns3:Math_Settings" minOccurs="0"/>
                <xsd:element ref="ns3:DefaultSectionNames" minOccurs="0"/>
                <xsd:element ref="ns3:Templates" minOccurs="0"/>
                <xsd:element ref="ns3:Teachers" minOccurs="0"/>
                <xsd:element ref="ns3:Students" minOccurs="0"/>
                <xsd:element ref="ns3:Student_Groups" minOccurs="0"/>
                <xsd:element ref="ns3:Distribution_Groups" minOccurs="0"/>
                <xsd:element ref="ns3:LMS_Mappings" minOccurs="0"/>
                <xsd:element ref="ns3:Invited_Teachers" minOccurs="0"/>
                <xsd:element ref="ns3:Invited_Students" minOccurs="0"/>
                <xsd:element ref="ns3:Self_Registration_Enabled" minOccurs="0"/>
                <xsd:element ref="ns3:Has_Teacher_Only_SectionGroup" minOccurs="0"/>
                <xsd:element ref="ns3:Is_Collaboration_Space_Locked" minOccurs="0"/>
                <xsd:element ref="ns3:IsNotebookLocked" minOccurs="0"/>
                <xsd:element ref="ns3:Leaders" minOccurs="0"/>
                <xsd:element ref="ns3:Members" minOccurs="0"/>
                <xsd:element ref="ns3:Member_Groups" minOccurs="0"/>
                <xsd:element ref="ns3:Invited_Leaders" minOccurs="0"/>
                <xsd:element ref="ns3:Invited_Members" minOccurs="0"/>
                <xsd:element ref="ns3:Has_Leaders_Only_SectionGroup" minOccurs="0"/>
                <xsd:element ref="ns4:SharedWithUsers" minOccurs="0"/>
                <xsd:element ref="ns4:SharedWithDetails" minOccurs="0"/>
                <xsd:element ref="ns4:SharingHintHash"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Teams_Channel_Section_Location" minOccurs="0"/>
                <xsd:element ref="ns3:MediaLengthInSeconds"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59d3de-9262-459d-ac14-e09968d489ed" elementFormDefault="qualified">
    <xsd:import namespace="http://schemas.microsoft.com/office/2006/documentManagement/types"/>
    <xsd:import namespace="http://schemas.microsoft.com/office/infopath/2007/PartnerControls"/>
    <xsd:element name="NotebookType" ma:index="8" nillable="true" ma:displayName="Notebook Type" ma:internalName="NotebookType">
      <xsd:simpleType>
        <xsd:restriction base="dms:Text"/>
      </xsd:simpleType>
    </xsd:element>
    <xsd:element name="FolderType" ma:index="9" nillable="true" ma:displayName="Folder Type" ma:internalName="FolderType">
      <xsd:simpleType>
        <xsd:restriction base="dms:Text"/>
      </xsd:simpleType>
    </xsd:element>
    <xsd:element name="CultureName" ma:index="10" nillable="true" ma:displayName="Culture Name" ma:internalName="CultureName">
      <xsd:simpleType>
        <xsd:restriction base="dms:Text"/>
      </xsd:simpleType>
    </xsd:element>
    <xsd:element name="AppVersion" ma:index="11" nillable="true" ma:displayName="App Version" ma:internalName="AppVersion">
      <xsd:simpleType>
        <xsd:restriction base="dms:Text"/>
      </xsd:simpleType>
    </xsd:element>
    <xsd:element name="TeamsChannelId" ma:index="12" nillable="true" ma:displayName="Teams Channel Id" ma:internalName="TeamsChannelId">
      <xsd:simpleType>
        <xsd:restriction base="dms:Text"/>
      </xsd:simpleType>
    </xsd:element>
    <xsd:element name="Owner" ma:index="13"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ath_Settings" ma:index="14" nillable="true" ma:displayName="Math Settings" ma:internalName="Math_Settings">
      <xsd:simpleType>
        <xsd:restriction base="dms:Text"/>
      </xsd:simpleType>
    </xsd:element>
    <xsd:element name="DefaultSectionNames" ma:index="15" nillable="true" ma:displayName="Default Section Names" ma:internalName="DefaultSectionNames">
      <xsd:simpleType>
        <xsd:restriction base="dms:Note">
          <xsd:maxLength value="255"/>
        </xsd:restriction>
      </xsd:simpleType>
    </xsd:element>
    <xsd:element name="Templates" ma:index="16" nillable="true" ma:displayName="Templates" ma:internalName="Templates">
      <xsd:simpleType>
        <xsd:restriction base="dms:Note">
          <xsd:maxLength value="255"/>
        </xsd:restriction>
      </xsd:simpleType>
    </xsd:element>
    <xsd:element name="Teachers" ma:index="17"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18"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19"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istribution_Groups" ma:index="20" nillable="true" ma:displayName="Distribution Groups" ma:internalName="Distribution_Groups">
      <xsd:simpleType>
        <xsd:restriction base="dms:Note">
          <xsd:maxLength value="255"/>
        </xsd:restriction>
      </xsd:simpleType>
    </xsd:element>
    <xsd:element name="LMS_Mappings" ma:index="21" nillable="true" ma:displayName="LMS Mappings" ma:internalName="LMS_Mappings">
      <xsd:simpleType>
        <xsd:restriction base="dms:Note">
          <xsd:maxLength value="255"/>
        </xsd:restriction>
      </xsd:simpleType>
    </xsd:element>
    <xsd:element name="Invited_Teachers" ma:index="22" nillable="true" ma:displayName="Invited Teachers" ma:internalName="Invited_Teachers">
      <xsd:simpleType>
        <xsd:restriction base="dms:Note">
          <xsd:maxLength value="255"/>
        </xsd:restriction>
      </xsd:simpleType>
    </xsd:element>
    <xsd:element name="Invited_Students" ma:index="23" nillable="true" ma:displayName="Invited Students" ma:internalName="Invited_Students">
      <xsd:simpleType>
        <xsd:restriction base="dms:Note">
          <xsd:maxLength value="255"/>
        </xsd:restriction>
      </xsd:simpleType>
    </xsd:element>
    <xsd:element name="Self_Registration_Enabled" ma:index="24" nillable="true" ma:displayName="Self Registration Enabled" ma:internalName="Self_Registration_Enabled">
      <xsd:simpleType>
        <xsd:restriction base="dms:Boolean"/>
      </xsd:simpleType>
    </xsd:element>
    <xsd:element name="Has_Teacher_Only_SectionGroup" ma:index="25" nillable="true" ma:displayName="Has Teacher Only SectionGroup" ma:internalName="Has_Teacher_Only_SectionGroup">
      <xsd:simpleType>
        <xsd:restriction base="dms:Boolean"/>
      </xsd:simpleType>
    </xsd:element>
    <xsd:element name="Is_Collaboration_Space_Locked" ma:index="26" nillable="true" ma:displayName="Is Collaboration Space Locked" ma:internalName="Is_Collaboration_Space_Locked">
      <xsd:simpleType>
        <xsd:restriction base="dms:Boolean"/>
      </xsd:simpleType>
    </xsd:element>
    <xsd:element name="IsNotebookLocked" ma:index="27" nillable="true" ma:displayName="Is Notebook Locked" ma:internalName="IsNotebookLocked">
      <xsd:simpleType>
        <xsd:restriction base="dms:Boolean"/>
      </xsd:simpleType>
    </xsd:element>
    <xsd:element name="Leaders" ma:index="28" nillable="true" ma:displayName="Leaders" ma:internalName="Lead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mbers" ma:index="29" nillable="true" ma:displayName="Members" ma:internalName="Memb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mber_Groups" ma:index="30" nillable="true" ma:displayName="Member Groups" ma:internalName="Member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Leaders" ma:index="31" nillable="true" ma:displayName="Invited Leaders" ma:internalName="Invited_Leaders">
      <xsd:simpleType>
        <xsd:restriction base="dms:Note">
          <xsd:maxLength value="255"/>
        </xsd:restriction>
      </xsd:simpleType>
    </xsd:element>
    <xsd:element name="Invited_Members" ma:index="32" nillable="true" ma:displayName="Invited Members" ma:internalName="Invited_Members">
      <xsd:simpleType>
        <xsd:restriction base="dms:Note">
          <xsd:maxLength value="255"/>
        </xsd:restriction>
      </xsd:simpleType>
    </xsd:element>
    <xsd:element name="Has_Leaders_Only_SectionGroup" ma:index="33" nillable="true" ma:displayName="Has Leaders Only SectionGroup" ma:internalName="Has_Leaders_Only_SectionGroup">
      <xsd:simpleType>
        <xsd:restriction base="dms:Boolean"/>
      </xsd:simpleType>
    </xsd:element>
    <xsd:element name="MediaServiceMetadata" ma:index="37" nillable="true" ma:displayName="MediaServiceMetadata" ma:hidden="true" ma:internalName="MediaServiceMetadata" ma:readOnly="true">
      <xsd:simpleType>
        <xsd:restriction base="dms:Note"/>
      </xsd:simpleType>
    </xsd:element>
    <xsd:element name="MediaServiceFastMetadata" ma:index="38" nillable="true" ma:displayName="MediaServiceFastMetadata" ma:hidden="true" ma:internalName="MediaServiceFastMetadata" ma:readOnly="true">
      <xsd:simpleType>
        <xsd:restriction base="dms:Note"/>
      </xsd:simpleType>
    </xsd:element>
    <xsd:element name="MediaServiceAutoTags" ma:index="39" nillable="true" ma:displayName="Tags" ma:internalName="MediaServiceAutoTags" ma:readOnly="true">
      <xsd:simpleType>
        <xsd:restriction base="dms:Text"/>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EventHashCode" ma:index="41" nillable="true" ma:displayName="MediaServiceEventHashCode" ma:hidden="true" ma:internalName="MediaServiceEventHashCode" ma:readOnly="true">
      <xsd:simpleType>
        <xsd:restriction base="dms:Text"/>
      </xsd:simpleType>
    </xsd:element>
    <xsd:element name="MediaServiceOCR" ma:index="42" nillable="true" ma:displayName="Extracted Text" ma:internalName="MediaServiceOCR" ma:readOnly="true">
      <xsd:simpleType>
        <xsd:restriction base="dms:Note">
          <xsd:maxLength value="255"/>
        </xsd:restriction>
      </xsd:simpleType>
    </xsd:element>
    <xsd:element name="MediaServiceDateTaken" ma:index="43" nillable="true" ma:displayName="MediaServiceDateTaken" ma:hidden="true" ma:internalName="MediaServiceDateTaken" ma:readOnly="true">
      <xsd:simpleType>
        <xsd:restriction base="dms:Text"/>
      </xsd:simpleType>
    </xsd:element>
    <xsd:element name="MediaServiceLocation" ma:index="44" nillable="true" ma:displayName="Location" ma:internalName="MediaServiceLocation" ma:readOnly="true">
      <xsd:simpleType>
        <xsd:restriction base="dms:Text"/>
      </xsd:simpleType>
    </xsd:element>
    <xsd:element name="Teams_Channel_Section_Location" ma:index="45" nillable="true" ma:displayName="Teams Channel Section Location" ma:internalName="Teams_Channel_Section_Location">
      <xsd:simpleType>
        <xsd:restriction base="dms:Text"/>
      </xsd:simpleType>
    </xsd:element>
    <xsd:element name="MediaLengthInSeconds" ma:index="46" nillable="true" ma:displayName="Length (seconds)" ma:internalName="MediaLengthInSeconds" ma:readOnly="true">
      <xsd:simpleType>
        <xsd:restriction base="dms:Unknown"/>
      </xsd:simpleType>
    </xsd:element>
    <xsd:element name="_activity" ma:index="47" nillable="true" ma:displayName="_activity" ma:hidden="true" ma:internalName="_activity">
      <xsd:simpleType>
        <xsd:restriction base="dms:Note"/>
      </xsd:simpleType>
    </xsd:element>
    <xsd:element name="MediaServiceObjectDetectorVersions" ma:index="48" nillable="true" ma:displayName="MediaServiceObjectDetectorVersions" ma:hidden="true" ma:indexed="true" ma:internalName="MediaServiceObjectDetectorVersions" ma:readOnly="true">
      <xsd:simpleType>
        <xsd:restriction base="dms:Text"/>
      </xsd:simpleType>
    </xsd:element>
    <xsd:element name="MediaServiceSystemTags" ma:index="49"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bbdf22-990a-4685-8371-9a42806029dd" elementFormDefault="qualified">
    <xsd:import namespace="http://schemas.microsoft.com/office/2006/documentManagement/types"/>
    <xsd:import namespace="http://schemas.microsoft.com/office/infopath/2007/PartnerControls"/>
    <xsd:element name="SharedWithUsers" ma:index="3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5" nillable="true" ma:displayName="Freigegeben für - Details" ma:internalName="SharedWithDetails" ma:readOnly="true">
      <xsd:simpleType>
        <xsd:restriction base="dms:Note">
          <xsd:maxLength value="255"/>
        </xsd:restriction>
      </xsd:simpleType>
    </xsd:element>
    <xsd:element name="SharingHintHash" ma:index="36"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1FA55F-D8B1-41BC-8DA3-A3BE6E70339D}">
  <ds:schemaRefs>
    <ds:schemaRef ds:uri="http://purl.org/dc/elements/1.1/"/>
    <ds:schemaRef ds:uri="http://schemas.microsoft.com/office/2006/documentManagement/types"/>
    <ds:schemaRef ds:uri="a859d3de-9262-459d-ac14-e09968d489ed"/>
    <ds:schemaRef ds:uri="http://purl.org/dc/term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b6bbdf22-990a-4685-8371-9a42806029dd"/>
    <ds:schemaRef ds:uri="http://purl.org/dc/dcmitype/"/>
  </ds:schemaRefs>
</ds:datastoreItem>
</file>

<file path=customXml/itemProps2.xml><?xml version="1.0" encoding="utf-8"?>
<ds:datastoreItem xmlns:ds="http://schemas.openxmlformats.org/officeDocument/2006/customXml" ds:itemID="{3AFB9F6E-B1AF-4793-A74F-C2942ABBC9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59d3de-9262-459d-ac14-e09968d489ed"/>
    <ds:schemaRef ds:uri="b6bbdf22-990a-4685-8371-9a42806029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C72758-BDB6-4DC9-B343-93E64DB930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Überblick</vt:lpstr>
      <vt:lpstr>Abfall</vt:lpstr>
      <vt:lpstr>Einkauf</vt:lpstr>
      <vt:lpstr>Ernährung</vt:lpstr>
      <vt:lpstr>Kompensation &amp; C-Bindung</vt:lpstr>
      <vt:lpstr>Kommunikation</vt:lpstr>
      <vt:lpstr>Mobilität </vt:lpstr>
      <vt:lpstr>Strom</vt:lpstr>
      <vt:lpstr>Wärme</vt:lpstr>
      <vt:lpstr>Hilfe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Matthias Klaubert</dc:creator>
  <cp:lastModifiedBy>Matthias Klaubert</cp:lastModifiedBy>
  <cp:lastPrinted>2024-01-30T13:30:00Z</cp:lastPrinted>
  <dcterms:created xsi:type="dcterms:W3CDTF">2022-01-19T10:58:17Z</dcterms:created>
  <dcterms:modified xsi:type="dcterms:W3CDTF">2024-03-07T14:26:28Z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0x010100051E82C21230994E856EF45F4148E7EE</vt:lpwstr>
  </property>
</Properties>
</file>